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4880" windowHeight="9285" tabRatio="743"/>
  </bookViews>
  <sheets>
    <sheet name="Blocking" sheetId="1" r:id="rId1"/>
    <sheet name="Table A(GRC+REC)" sheetId="2" r:id="rId2"/>
    <sheet name="Stipulation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0" localSheetId="2">[1]Jan!#REF!</definedName>
    <definedName name="\0" localSheetId="1">[1]Jan!#REF!</definedName>
    <definedName name="\0">[1]Jan!#REF!</definedName>
    <definedName name="\A" localSheetId="2">#REF!</definedName>
    <definedName name="\A" localSheetId="1">#REF!</definedName>
    <definedName name="\A">#REF!</definedName>
    <definedName name="\B" localSheetId="2">#REF!</definedName>
    <definedName name="\B" localSheetId="1">#REF!</definedName>
    <definedName name="\B">#REF!</definedName>
    <definedName name="\BACK1" localSheetId="2">#REF!</definedName>
    <definedName name="\BACK1" localSheetId="1">#REF!</definedName>
    <definedName name="\BACK1">#REF!</definedName>
    <definedName name="\BLOCK" localSheetId="2">#REF!</definedName>
    <definedName name="\BLOCK" localSheetId="1">#REF!</definedName>
    <definedName name="\BLOCK">#REF!</definedName>
    <definedName name="\BLOCKT" localSheetId="2">#REF!</definedName>
    <definedName name="\BLOCKT" localSheetId="1">#REF!</definedName>
    <definedName name="\BLOCKT">#REF!</definedName>
    <definedName name="\C" localSheetId="2">#REF!</definedName>
    <definedName name="\C" localSheetId="1">#REF!</definedName>
    <definedName name="\C">#REF!</definedName>
    <definedName name="\COMP" localSheetId="2">#REF!</definedName>
    <definedName name="\COMP" localSheetId="1">#REF!</definedName>
    <definedName name="\COMP">#REF!</definedName>
    <definedName name="\COMPT" localSheetId="2">#REF!</definedName>
    <definedName name="\COMPT" localSheetId="1">#REF!</definedName>
    <definedName name="\COMPT">#REF!</definedName>
    <definedName name="\E" localSheetId="2">#REF!</definedName>
    <definedName name="\E" localSheetId="1">#REF!</definedName>
    <definedName name="\E">#REF!</definedName>
    <definedName name="\G" localSheetId="2">#REF!</definedName>
    <definedName name="\G" localSheetId="1">#REF!</definedName>
    <definedName name="\G">#REF!</definedName>
    <definedName name="\I" localSheetId="2">#REF!</definedName>
    <definedName name="\I" localSheetId="1">#REF!</definedName>
    <definedName name="\I">#REF!</definedName>
    <definedName name="\K" localSheetId="2">#REF!</definedName>
    <definedName name="\K" localSheetId="1">#REF!</definedName>
    <definedName name="\K">#REF!</definedName>
    <definedName name="\L" localSheetId="2">#REF!</definedName>
    <definedName name="\L" localSheetId="1">#REF!</definedName>
    <definedName name="\L">#REF!</definedName>
    <definedName name="\M" localSheetId="2">#REF!</definedName>
    <definedName name="\M" localSheetId="1">#REF!</definedName>
    <definedName name="\M">#REF!</definedName>
    <definedName name="\P" localSheetId="2">#REF!</definedName>
    <definedName name="\P" localSheetId="1">#REF!</definedName>
    <definedName name="\P">#REF!</definedName>
    <definedName name="\Q" localSheetId="2">[2]Actual!#REF!</definedName>
    <definedName name="\Q" localSheetId="1">[2]Actual!#REF!</definedName>
    <definedName name="\Q">[2]Actual!#REF!</definedName>
    <definedName name="\R" localSheetId="2">#REF!</definedName>
    <definedName name="\R" localSheetId="1">#REF!</definedName>
    <definedName name="\R">#REF!</definedName>
    <definedName name="\S" localSheetId="2">#REF!</definedName>
    <definedName name="\S" localSheetId="1">#REF!</definedName>
    <definedName name="\S">#REF!</definedName>
    <definedName name="\TABLE1" localSheetId="2">#REF!</definedName>
    <definedName name="\TABLE1" localSheetId="1">#REF!</definedName>
    <definedName name="\TABLE1">#REF!</definedName>
    <definedName name="\TABLE2" localSheetId="2">#REF!</definedName>
    <definedName name="\TABLE2" localSheetId="1">#REF!</definedName>
    <definedName name="\TABLE2">#REF!</definedName>
    <definedName name="\TABLEA" localSheetId="2">#REF!</definedName>
    <definedName name="\TABLEA" localSheetId="1">#REF!</definedName>
    <definedName name="\TABLEA">#REF!</definedName>
    <definedName name="\TBL1" localSheetId="2">#REF!</definedName>
    <definedName name="\TBL1" localSheetId="1">#REF!</definedName>
    <definedName name="\TBL1">#REF!</definedName>
    <definedName name="\TBL2" localSheetId="2">#REF!</definedName>
    <definedName name="\TBL2" localSheetId="1">#REF!</definedName>
    <definedName name="\TBL2">#REF!</definedName>
    <definedName name="\TBL3" localSheetId="2">#REF!</definedName>
    <definedName name="\TBL3" localSheetId="1">#REF!</definedName>
    <definedName name="\TBL3">#REF!</definedName>
    <definedName name="\TBL4" localSheetId="2">#REF!</definedName>
    <definedName name="\TBL4" localSheetId="1">#REF!</definedName>
    <definedName name="\TBL4">#REF!</definedName>
    <definedName name="\TBL5" localSheetId="2">#REF!</definedName>
    <definedName name="\TBL5" localSheetId="1">#REF!</definedName>
    <definedName name="\TBL5">#REF!</definedName>
    <definedName name="\W" localSheetId="2">#REF!</definedName>
    <definedName name="\W" localSheetId="1">#REF!</definedName>
    <definedName name="\W">#REF!</definedName>
    <definedName name="\WORK1" localSheetId="2">#REF!</definedName>
    <definedName name="\WORK1" localSheetId="1">#REF!</definedName>
    <definedName name="\WORK1">#REF!</definedName>
    <definedName name="\X" localSheetId="2">#REF!</definedName>
    <definedName name="\X" localSheetId="1">#REF!</definedName>
    <definedName name="\X">#REF!</definedName>
    <definedName name="\Z" localSheetId="2">#REF!</definedName>
    <definedName name="\Z" localSheetId="1">#REF!</definedName>
    <definedName name="\Z">#REF!</definedName>
    <definedName name="__123Graph_A" localSheetId="0" hidden="1">Blocking!$C$116:$C$125</definedName>
    <definedName name="__123Graph_A" localSheetId="2" hidden="1">[3]Inputs!#REF!</definedName>
    <definedName name="__123Graph_A" localSheetId="1" hidden="1">[3]Inputs!#REF!</definedName>
    <definedName name="__123Graph_A" hidden="1">[3]Inputs!#REF!</definedName>
    <definedName name="__123Graph_AGRAPH1" localSheetId="0" hidden="1">Blocking!$C$728:$C$728</definedName>
    <definedName name="__123Graph_B" localSheetId="0" hidden="1">Blocking!#REF!</definedName>
    <definedName name="__123Graph_B" localSheetId="2" hidden="1">[3]Inputs!#REF!</definedName>
    <definedName name="__123Graph_B" localSheetId="1" hidden="1">[3]Inputs!#REF!</definedName>
    <definedName name="__123Graph_B" hidden="1">[3]Inputs!#REF!</definedName>
    <definedName name="__123Graph_C" localSheetId="0" hidden="1">Blocking!#REF!</definedName>
    <definedName name="__123Graph_D" localSheetId="0" hidden="1">Blocking!#REF!</definedName>
    <definedName name="__123Graph_D" localSheetId="2" hidden="1">[3]Inputs!#REF!</definedName>
    <definedName name="__123Graph_D" localSheetId="1" hidden="1">[3]Inputs!#REF!</definedName>
    <definedName name="__123Graph_D" hidden="1">[3]Inputs!#REF!</definedName>
    <definedName name="__123Graph_E" localSheetId="0" hidden="1">Blocking!#REF!</definedName>
    <definedName name="__123Graph_F" localSheetId="0" hidden="1">Blocking!$G$116:$G$125</definedName>
    <definedName name="__MEN2" localSheetId="2">[1]Jan!#REF!</definedName>
    <definedName name="__MEN2" localSheetId="1">[1]Jan!#REF!</definedName>
    <definedName name="__MEN2">[1]Jan!#REF!</definedName>
    <definedName name="__MEN3" localSheetId="2">[1]Jan!#REF!</definedName>
    <definedName name="__MEN3" localSheetId="1">[1]Jan!#REF!</definedName>
    <definedName name="__MEN3">[1]Jan!#REF!</definedName>
    <definedName name="__TOP1" localSheetId="2">[1]Jan!#REF!</definedName>
    <definedName name="__TOP1" localSheetId="1">[1]Jan!#REF!</definedName>
    <definedName name="__TOP1">[1]Jan!#REF!</definedName>
    <definedName name="_3Price_Ta" localSheetId="2">#REF!</definedName>
    <definedName name="_3Price_Ta" localSheetId="1">#REF!</definedName>
    <definedName name="_3Price_Ta">#REF!</definedName>
    <definedName name="_B" localSheetId="2">#REF!</definedName>
    <definedName name="_B" localSheetId="1">#REF!</definedName>
    <definedName name="_B">#REF!</definedName>
    <definedName name="_BLOCK" localSheetId="2">#REF!</definedName>
    <definedName name="_BLOCK" localSheetId="1">#REF!</definedName>
    <definedName name="_BLOCK">#REF!</definedName>
    <definedName name="_BLOCKT" localSheetId="2">#REF!</definedName>
    <definedName name="_BLOCKT" localSheetId="1">#REF!</definedName>
    <definedName name="_BLOCKT">#REF!</definedName>
    <definedName name="_COMP" localSheetId="2">#REF!</definedName>
    <definedName name="_COMP" localSheetId="1">#REF!</definedName>
    <definedName name="_COMP">#REF!</definedName>
    <definedName name="_COMPR" localSheetId="2">#REF!</definedName>
    <definedName name="_COMPR" localSheetId="1">#REF!</definedName>
    <definedName name="_COMPR">#REF!</definedName>
    <definedName name="_COMPT" localSheetId="2">#REF!</definedName>
    <definedName name="_COMPT" localSheetId="1">#REF!</definedName>
    <definedName name="_COMPT">#REF!</definedName>
    <definedName name="_Dist_Values" localSheetId="0" hidden="1">Blocking!#REF!</definedName>
    <definedName name="_Fill" localSheetId="0" hidden="1">Blocking!#REF!</definedName>
    <definedName name="_Fill" localSheetId="2" hidden="1">#REF!</definedName>
    <definedName name="_Fill" localSheetId="1" hidden="1">#REF!</definedName>
    <definedName name="_Fill" hidden="1">#REF!</definedName>
    <definedName name="_xlnm._FilterDatabase" localSheetId="0" hidden="1">Blocking!$K$1:$K$856</definedName>
    <definedName name="_Key1" localSheetId="0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1" hidden="1">#REF!</definedName>
    <definedName name="_Key2" hidden="1">#REF!</definedName>
    <definedName name="_MEN2" localSheetId="2">[1]Jan!#REF!</definedName>
    <definedName name="_MEN2" localSheetId="1">[1]Jan!#REF!</definedName>
    <definedName name="_MEN2">[1]Jan!#REF!</definedName>
    <definedName name="_MEN3" localSheetId="2">[1]Jan!#REF!</definedName>
    <definedName name="_MEN3" localSheetId="1">[1]Jan!#REF!</definedName>
    <definedName name="_MEN3">[1]Jan!#REF!</definedName>
    <definedName name="_Order1" localSheetId="1" hidden="1">255</definedName>
    <definedName name="_Order1" hidden="1">0</definedName>
    <definedName name="_Order2" localSheetId="1" hidden="1">255</definedName>
    <definedName name="_Order2" hidden="1">0</definedName>
    <definedName name="_P" localSheetId="2">#REF!</definedName>
    <definedName name="_P" localSheetId="1">#REF!</definedName>
    <definedName name="_P">#REF!</definedName>
    <definedName name="_Sort" localSheetId="0" hidden="1">#REF!</definedName>
    <definedName name="_Sort" localSheetId="2" hidden="1">#REF!</definedName>
    <definedName name="_Sort" localSheetId="1" hidden="1">#REF!</definedName>
    <definedName name="_Sort" hidden="1">#REF!</definedName>
    <definedName name="_SPL" localSheetId="2">#REF!</definedName>
    <definedName name="_SPL" localSheetId="1">#REF!</definedName>
    <definedName name="_SPL">#REF!</definedName>
    <definedName name="_TOP1" localSheetId="2">[1]Jan!#REF!</definedName>
    <definedName name="_TOP1" localSheetId="1">[1]Jan!#REF!</definedName>
    <definedName name="_TOP1">[1]Jan!#REF!</definedName>
    <definedName name="a" localSheetId="2" hidden="1">'[3]DSM Output'!$J$21:$J$23</definedName>
    <definedName name="a" hidden="1">'[3]DSM Output'!$J$21:$J$23</definedName>
    <definedName name="A_36" localSheetId="2">#REF!</definedName>
    <definedName name="A_36" localSheetId="1">#REF!</definedName>
    <definedName name="A_36">#REF!</definedName>
    <definedName name="ABSTRACT" localSheetId="2">#REF!</definedName>
    <definedName name="ABSTRACT" localSheetId="1">#REF!</definedName>
    <definedName name="ABSTRACT">#REF!</definedName>
    <definedName name="Acct228.42TROJD" localSheetId="2">'[4]Func Study'!#REF!</definedName>
    <definedName name="Acct228.42TROJD" localSheetId="1">'[4]Func Study'!#REF!</definedName>
    <definedName name="Acct228.42TROJD">'[4]Func Study'!#REF!</definedName>
    <definedName name="Acct22842TROJD" localSheetId="2">'[4]Func Study'!#REF!</definedName>
    <definedName name="Acct22842TROJD" localSheetId="1">'[4]Func Study'!#REF!</definedName>
    <definedName name="Acct22842TROJD">'[4]Func Study'!#REF!</definedName>
    <definedName name="Acct447DGU" localSheetId="2">'[4]Func Study'!#REF!</definedName>
    <definedName name="Acct447DGU" localSheetId="1">'[4]Func Study'!#REF!</definedName>
    <definedName name="Acct447DGU">'[4]Func Study'!#REF!</definedName>
    <definedName name="AcctTable">[5]Variables!$AK$42:$AK$396</definedName>
    <definedName name="actualror">[6]WorkArea!$F$86</definedName>
    <definedName name="Adjs2avg">[7]Inputs!$L$255:'[7]Inputs'!$T$505</definedName>
    <definedName name="ALL" localSheetId="2">#REF!</definedName>
    <definedName name="ALL" localSheetId="1">#REF!</definedName>
    <definedName name="ALL">#REF!</definedName>
    <definedName name="all_months" localSheetId="2">#REF!</definedName>
    <definedName name="all_months" localSheetId="1">#REF!</definedName>
    <definedName name="all_months">#REF!</definedName>
    <definedName name="APR" localSheetId="2">#REF!</definedName>
    <definedName name="APR" localSheetId="1">#REF!</definedName>
    <definedName name="APR">#REF!</definedName>
    <definedName name="APRT" localSheetId="2">#REF!</definedName>
    <definedName name="APRT" localSheetId="1">#REF!</definedName>
    <definedName name="APRT">#REF!</definedName>
    <definedName name="AT_48" localSheetId="2">#REF!</definedName>
    <definedName name="AT_48" localSheetId="1">#REF!</definedName>
    <definedName name="AT_48">#REF!</definedName>
    <definedName name="AUG" localSheetId="2">#REF!</definedName>
    <definedName name="AUG" localSheetId="1">#REF!</definedName>
    <definedName name="AUG">#REF!</definedName>
    <definedName name="AUGT" localSheetId="2">#REF!</definedName>
    <definedName name="AUGT" localSheetId="1">#REF!</definedName>
    <definedName name="AUGT">#REF!</definedName>
    <definedName name="AvgFactors">[5]Factors!$B$3:$P$99</definedName>
    <definedName name="BACK1" localSheetId="2">#REF!</definedName>
    <definedName name="BACK1" localSheetId="1">#REF!</definedName>
    <definedName name="BACK1">#REF!</definedName>
    <definedName name="BACK2" localSheetId="2">#REF!</definedName>
    <definedName name="BACK2" localSheetId="1">#REF!</definedName>
    <definedName name="BACK2">#REF!</definedName>
    <definedName name="BACK3" localSheetId="2">#REF!</definedName>
    <definedName name="BACK3" localSheetId="1">#REF!</definedName>
    <definedName name="BACK3">#REF!</definedName>
    <definedName name="BACKUP1" localSheetId="2">#REF!</definedName>
    <definedName name="BACKUP1" localSheetId="1">#REF!</definedName>
    <definedName name="BACKUP1">#REF!</definedName>
    <definedName name="Baseline" localSheetId="2">#REF!</definedName>
    <definedName name="Baseline" localSheetId="1">#REF!</definedName>
    <definedName name="Baseline">#REF!</definedName>
    <definedName name="BLOCK" localSheetId="2">#REF!</definedName>
    <definedName name="BLOCK" localSheetId="1">#REF!</definedName>
    <definedName name="BLOCK">#REF!</definedName>
    <definedName name="BLOCKTOP" localSheetId="2">#REF!</definedName>
    <definedName name="BLOCKTOP" localSheetId="1">#REF!</definedName>
    <definedName name="BLOCKTOP">#REF!</definedName>
    <definedName name="BOOKADJ" localSheetId="2">#REF!</definedName>
    <definedName name="BOOKADJ" localSheetId="1">#REF!</definedName>
    <definedName name="BOOKADJ">#REF!</definedName>
    <definedName name="cap">[8]Readings!$B$2</definedName>
    <definedName name="Capacity" localSheetId="2">#REF!</definedName>
    <definedName name="Capacity" localSheetId="1">#REF!</definedName>
    <definedName name="Capacity">#REF!</definedName>
    <definedName name="Check" localSheetId="2">#REF!</definedName>
    <definedName name="Check" localSheetId="1">#REF!</definedName>
    <definedName name="Check">#REF!</definedName>
    <definedName name="COMADJ" localSheetId="2">#REF!</definedName>
    <definedName name="COMADJ" localSheetId="1">#REF!</definedName>
    <definedName name="COMADJ">#REF!</definedName>
    <definedName name="COMP" localSheetId="2">#REF!</definedName>
    <definedName name="COMP" localSheetId="1">#REF!</definedName>
    <definedName name="COMP">#REF!</definedName>
    <definedName name="COMPACTUAL" localSheetId="2">#REF!</definedName>
    <definedName name="COMPACTUAL" localSheetId="1">#REF!</definedName>
    <definedName name="COMPACTUAL">#REF!</definedName>
    <definedName name="COMPT" localSheetId="2">#REF!</definedName>
    <definedName name="COMPT" localSheetId="1">#REF!</definedName>
    <definedName name="COMPT">#REF!</definedName>
    <definedName name="COMPWEATHER" localSheetId="2">#REF!</definedName>
    <definedName name="COMPWEATHER" localSheetId="1">#REF!</definedName>
    <definedName name="COMPWEATHER">#REF!</definedName>
    <definedName name="_xlnm.Database" localSheetId="2">[9]Invoice!#REF!</definedName>
    <definedName name="_xlnm.Database" localSheetId="1">[9]Invoice!#REF!</definedName>
    <definedName name="_xlnm.Database">[9]Invoice!#REF!</definedName>
    <definedName name="DATE" localSheetId="2">[10]Jan!#REF!</definedName>
    <definedName name="DATE" localSheetId="1">[10]Jan!#REF!</definedName>
    <definedName name="DATE">[10]Jan!#REF!</definedName>
    <definedName name="DEC" localSheetId="2">#REF!</definedName>
    <definedName name="DEC" localSheetId="1">#REF!</definedName>
    <definedName name="DEC">#REF!</definedName>
    <definedName name="DECT" localSheetId="2">#REF!</definedName>
    <definedName name="DECT" localSheetId="1">#REF!</definedName>
    <definedName name="DECT">#REF!</definedName>
    <definedName name="Demand">[4]Inputs!$D$8</definedName>
    <definedName name="Dist_factor" localSheetId="2">#REF!</definedName>
    <definedName name="Dist_factor" localSheetId="1">#REF!</definedName>
    <definedName name="Dist_factor">#REF!</definedName>
    <definedName name="DUDE" localSheetId="2" hidden="1">#REF!</definedName>
    <definedName name="DUDE" localSheetId="1" hidden="1">#REF!</definedName>
    <definedName name="DUDE" hidden="1">#REF!</definedName>
    <definedName name="energy">[8]Readings!$B$3</definedName>
    <definedName name="Engy">[4]Inputs!$D$9</definedName>
    <definedName name="f101top" localSheetId="2">#REF!</definedName>
    <definedName name="f101top" localSheetId="1">#REF!</definedName>
    <definedName name="f101top">#REF!</definedName>
    <definedName name="f104top" localSheetId="2">#REF!</definedName>
    <definedName name="f104top" localSheetId="1">#REF!</definedName>
    <definedName name="f104top">#REF!</definedName>
    <definedName name="f138top" localSheetId="2">#REF!</definedName>
    <definedName name="f138top" localSheetId="1">#REF!</definedName>
    <definedName name="f138top">#REF!</definedName>
    <definedName name="f140top" localSheetId="2">#REF!</definedName>
    <definedName name="f140top" localSheetId="1">#REF!</definedName>
    <definedName name="f140top">#REF!</definedName>
    <definedName name="FactorType">[5]Variables!$AK$2:$AL$12</definedName>
    <definedName name="FACTP" localSheetId="2">#REF!</definedName>
    <definedName name="FACTP" localSheetId="1">#REF!</definedName>
    <definedName name="FACTP">#REF!</definedName>
    <definedName name="FEB" localSheetId="2">#REF!</definedName>
    <definedName name="FEB" localSheetId="1">#REF!</definedName>
    <definedName name="FEB">#REF!</definedName>
    <definedName name="FEBT" localSheetId="2">#REF!</definedName>
    <definedName name="FEBT" localSheetId="1">#REF!</definedName>
    <definedName name="FEBT">#REF!</definedName>
    <definedName name="FIX" localSheetId="2">#REF!</definedName>
    <definedName name="FIX" localSheetId="1">#REF!</definedName>
    <definedName name="FIX">#REF!</definedName>
    <definedName name="FranchiseTax">[7]Variables!$D$26</definedName>
    <definedName name="Func_Ftrs" localSheetId="2">#REF!</definedName>
    <definedName name="Func_Ftrs" localSheetId="1">#REF!</definedName>
    <definedName name="Func_Ftrs">#REF!</definedName>
    <definedName name="Func_GTD_Percents" localSheetId="2">#REF!</definedName>
    <definedName name="Func_GTD_Percents" localSheetId="1">#REF!</definedName>
    <definedName name="Func_GTD_Percents">#REF!</definedName>
    <definedName name="Func_MC" localSheetId="2">#REF!</definedName>
    <definedName name="Func_MC" localSheetId="1">#REF!</definedName>
    <definedName name="Func_MC">#REF!</definedName>
    <definedName name="Func_Percents" localSheetId="2">#REF!</definedName>
    <definedName name="Func_Percents" localSheetId="1">#REF!</definedName>
    <definedName name="Func_Percents">#REF!</definedName>
    <definedName name="Func_Rev_Req1" localSheetId="2">#REF!</definedName>
    <definedName name="Func_Rev_Req1" localSheetId="1">#REF!</definedName>
    <definedName name="Func_Rev_Req1">#REF!</definedName>
    <definedName name="Func_Rev_Req2" localSheetId="2">#REF!</definedName>
    <definedName name="Func_Rev_Req2" localSheetId="1">#REF!</definedName>
    <definedName name="Func_Rev_Req2">#REF!</definedName>
    <definedName name="Func_Revenue" localSheetId="2">#REF!</definedName>
    <definedName name="Func_Revenue" localSheetId="1">#REF!</definedName>
    <definedName name="Func_Revenue">#REF!</definedName>
    <definedName name="GREATER10MW" localSheetId="2">#REF!</definedName>
    <definedName name="GREATER10MW" localSheetId="1">#REF!</definedName>
    <definedName name="GREATER10MW">#REF!</definedName>
    <definedName name="GTD_Percents" localSheetId="2">#REF!</definedName>
    <definedName name="GTD_Percents" localSheetId="1">#REF!</definedName>
    <definedName name="GTD_Percents">#REF!</definedName>
    <definedName name="HEIGHT" localSheetId="2">#REF!</definedName>
    <definedName name="HEIGHT" localSheetId="1">#REF!</definedName>
    <definedName name="HEIGHT">#REF!</definedName>
    <definedName name="ID_0303_RVN_data" localSheetId="2">#REF!</definedName>
    <definedName name="ID_0303_RVN_data" localSheetId="1">#REF!</definedName>
    <definedName name="ID_0303_RVN_data">#REF!</definedName>
    <definedName name="IDcontractsRVN" localSheetId="2">#REF!</definedName>
    <definedName name="IDcontractsRVN" localSheetId="1">#REF!</definedName>
    <definedName name="IDcontractsRVN">#REF!</definedName>
    <definedName name="INDADJ" localSheetId="2">#REF!</definedName>
    <definedName name="INDADJ" localSheetId="1">#REF!</definedName>
    <definedName name="INDADJ">#REF!</definedName>
    <definedName name="INPUT" localSheetId="2">[11]Summary!#REF!</definedName>
    <definedName name="INPUT" localSheetId="1">[11]Summary!#REF!</definedName>
    <definedName name="INPUT">[11]Summary!#REF!</definedName>
    <definedName name="Instructions" localSheetId="2">#REF!</definedName>
    <definedName name="Instructions" localSheetId="1">#REF!</definedName>
    <definedName name="Instructions">#REF!</definedName>
    <definedName name="IRR" localSheetId="2">#REF!</definedName>
    <definedName name="IRR" localSheetId="1">#REF!</definedName>
    <definedName name="IRR">#REF!</definedName>
    <definedName name="IRRIGATION" localSheetId="2">#REF!</definedName>
    <definedName name="IRRIGATION" localSheetId="1">#REF!</definedName>
    <definedName name="IRRIGATION">#REF!</definedName>
    <definedName name="JAN" localSheetId="2">#REF!</definedName>
    <definedName name="JAN" localSheetId="1">#REF!</definedName>
    <definedName name="JAN">#REF!</definedName>
    <definedName name="JANT" localSheetId="2">#REF!</definedName>
    <definedName name="JANT" localSheetId="1">#REF!</definedName>
    <definedName name="JANT">#REF!</definedName>
    <definedName name="JUL" localSheetId="2">#REF!</definedName>
    <definedName name="JUL" localSheetId="1">#REF!</definedName>
    <definedName name="JUL">#REF!</definedName>
    <definedName name="JULT" localSheetId="2">#REF!</definedName>
    <definedName name="JULT" localSheetId="1">#REF!</definedName>
    <definedName name="JULT">#REF!</definedName>
    <definedName name="JUN" localSheetId="2">#REF!</definedName>
    <definedName name="JUN" localSheetId="1">#REF!</definedName>
    <definedName name="JUN">#REF!</definedName>
    <definedName name="JUNT" localSheetId="2">#REF!</definedName>
    <definedName name="JUNT" localSheetId="1">#REF!</definedName>
    <definedName name="JUNT">#REF!</definedName>
    <definedName name="Jurisdiction">[5]Variables!$AK$15</definedName>
    <definedName name="JurisNumber">[5]Variables!$AL$15</definedName>
    <definedName name="LABORMOD" localSheetId="2">#REF!</definedName>
    <definedName name="LABORMOD" localSheetId="1">#REF!</definedName>
    <definedName name="LABORMOD">#REF!</definedName>
    <definedName name="LABORROLL" localSheetId="2">#REF!</definedName>
    <definedName name="LABORROLL" localSheetId="1">#REF!</definedName>
    <definedName name="LABORROLL">#REF!</definedName>
    <definedName name="limcount" hidden="1">1</definedName>
    <definedName name="Line_Ext_Credit" localSheetId="2">#REF!</definedName>
    <definedName name="Line_Ext_Credit" localSheetId="1">#REF!</definedName>
    <definedName name="Line_Ext_Credit">#REF!</definedName>
    <definedName name="LOG" localSheetId="2">[12]Backup!#REF!</definedName>
    <definedName name="LOG" localSheetId="1">[12]Backup!#REF!</definedName>
    <definedName name="LOG">[12]Backup!#REF!</definedName>
    <definedName name="LOSS" localSheetId="2">[12]Backup!#REF!</definedName>
    <definedName name="LOSS" localSheetId="1">[12]Backup!#REF!</definedName>
    <definedName name="LOSS">[12]Backup!#REF!</definedName>
    <definedName name="MACTIT" localSheetId="2">#REF!</definedName>
    <definedName name="MACTIT" localSheetId="1">#REF!</definedName>
    <definedName name="MACTIT">#REF!</definedName>
    <definedName name="MAR" localSheetId="2">#REF!</definedName>
    <definedName name="MAR" localSheetId="1">#REF!</definedName>
    <definedName name="MAR">#REF!</definedName>
    <definedName name="MART" localSheetId="2">#REF!</definedName>
    <definedName name="MART" localSheetId="1">#REF!</definedName>
    <definedName name="MART">#REF!</definedName>
    <definedName name="MAY" localSheetId="2">#REF!</definedName>
    <definedName name="MAY" localSheetId="1">#REF!</definedName>
    <definedName name="MAY">#REF!</definedName>
    <definedName name="MAYT" localSheetId="2">#REF!</definedName>
    <definedName name="MAYT" localSheetId="1">#REF!</definedName>
    <definedName name="MAYT">#REF!</definedName>
    <definedName name="MCtoREV" localSheetId="2">#REF!</definedName>
    <definedName name="MCtoREV" localSheetId="1">#REF!</definedName>
    <definedName name="MCtoREV">#REF!</definedName>
    <definedName name="MEN" localSheetId="2">[1]Jan!#REF!</definedName>
    <definedName name="MEN" localSheetId="1">[1]Jan!#REF!</definedName>
    <definedName name="MEN">[1]Jan!#REF!</definedName>
    <definedName name="Menu_Begin" localSheetId="2">#REF!</definedName>
    <definedName name="Menu_Begin" localSheetId="1">#REF!</definedName>
    <definedName name="Menu_Begin">#REF!</definedName>
    <definedName name="Menu_Caption" localSheetId="2">#REF!</definedName>
    <definedName name="Menu_Caption" localSheetId="1">#REF!</definedName>
    <definedName name="Menu_Caption">#REF!</definedName>
    <definedName name="Menu_Large" localSheetId="2">[13]MacroBuilder!#REF!</definedName>
    <definedName name="Menu_Large" localSheetId="1">[13]MacroBuilder!#REF!</definedName>
    <definedName name="Menu_Large">[13]MacroBuilder!#REF!</definedName>
    <definedName name="Menu_Name" localSheetId="2">#REF!</definedName>
    <definedName name="Menu_Name" localSheetId="1">#REF!</definedName>
    <definedName name="Menu_Name">#REF!</definedName>
    <definedName name="Menu_OnAction" localSheetId="2">#REF!</definedName>
    <definedName name="Menu_OnAction" localSheetId="1">#REF!</definedName>
    <definedName name="Menu_OnAction">#REF!</definedName>
    <definedName name="Menu_Parent" localSheetId="2">#REF!</definedName>
    <definedName name="Menu_Parent" localSheetId="1">#REF!</definedName>
    <definedName name="Menu_Parent">#REF!</definedName>
    <definedName name="Menu_Small" localSheetId="2">[13]MacroBuilder!#REF!</definedName>
    <definedName name="Menu_Small" localSheetId="1">[13]MacroBuilder!#REF!</definedName>
    <definedName name="Menu_Small">[13]MacroBuilder!#REF!</definedName>
    <definedName name="Method">[4]Inputs!$C$6</definedName>
    <definedName name="MONTH" localSheetId="2">[12]Backup!#REF!</definedName>
    <definedName name="MONTH" localSheetId="1">[12]Backup!#REF!</definedName>
    <definedName name="MONTH">[12]Backup!#REF!</definedName>
    <definedName name="monthlist">[14]Table!$R$2:$S$13</definedName>
    <definedName name="monthtotals">'[14]WA SBC'!$D$40:$O$40</definedName>
    <definedName name="MSPAverageInput" localSheetId="2">[15]Inputs!#REF!</definedName>
    <definedName name="MSPAverageInput" localSheetId="1">[15]Inputs!#REF!</definedName>
    <definedName name="MSPAverageInput">[15]Inputs!#REF!</definedName>
    <definedName name="MSPYearEndInput" localSheetId="2">[15]Inputs!#REF!</definedName>
    <definedName name="MSPYearEndInput" localSheetId="1">[15]Inputs!#REF!</definedName>
    <definedName name="MSPYearEndInput">[15]Inputs!#REF!</definedName>
    <definedName name="MTKWH" localSheetId="2">#REF!</definedName>
    <definedName name="MTKWH" localSheetId="1">#REF!</definedName>
    <definedName name="MTKWH">#REF!</definedName>
    <definedName name="MTR_YR3">[16]Variables!$E$14</definedName>
    <definedName name="MTREV" localSheetId="2">#REF!</definedName>
    <definedName name="MTREV" localSheetId="1">#REF!</definedName>
    <definedName name="MTREV">#REF!</definedName>
    <definedName name="MULT" localSheetId="2">#REF!</definedName>
    <definedName name="MULT" localSheetId="1">#REF!</definedName>
    <definedName name="MULT">#REF!</definedName>
    <definedName name="NetToGross">[7]Variables!$D$23</definedName>
    <definedName name="NEWMO1" localSheetId="2">[1]Jan!#REF!</definedName>
    <definedName name="NEWMO1" localSheetId="1">[1]Jan!#REF!</definedName>
    <definedName name="NEWMO1">[1]Jan!#REF!</definedName>
    <definedName name="NEWMO2" localSheetId="2">[1]Jan!#REF!</definedName>
    <definedName name="NEWMO2" localSheetId="1">[1]Jan!#REF!</definedName>
    <definedName name="NEWMO2">[1]Jan!#REF!</definedName>
    <definedName name="NEWMONTH" localSheetId="2">[1]Jan!#REF!</definedName>
    <definedName name="NEWMONTH" localSheetId="1">[1]Jan!#REF!</definedName>
    <definedName name="NEWMONTH">[1]Jan!#REF!</definedName>
    <definedName name="NONRES" localSheetId="2">#REF!</definedName>
    <definedName name="NONRES" localSheetId="1">#REF!</definedName>
    <definedName name="NONRES">#REF!</definedName>
    <definedName name="NORMALIZE" localSheetId="2">#REF!</definedName>
    <definedName name="NORMALIZE" localSheetId="1">#REF!</definedName>
    <definedName name="NORMALIZE">#REF!</definedName>
    <definedName name="NOV" localSheetId="2">#REF!</definedName>
    <definedName name="NOV" localSheetId="1">#REF!</definedName>
    <definedName name="NOV">#REF!</definedName>
    <definedName name="NOVT" localSheetId="2">#REF!</definedName>
    <definedName name="NOVT" localSheetId="1">#REF!</definedName>
    <definedName name="NOVT">#REF!</definedName>
    <definedName name="NUM" localSheetId="2">#REF!</definedName>
    <definedName name="NUM" localSheetId="1">#REF!</definedName>
    <definedName name="NUM">#REF!</definedName>
    <definedName name="OCT" localSheetId="2">#REF!</definedName>
    <definedName name="OCT" localSheetId="1">#REF!</definedName>
    <definedName name="OCT">#REF!</definedName>
    <definedName name="OCTT" localSheetId="2">#REF!</definedName>
    <definedName name="OCTT" localSheetId="1">#REF!</definedName>
    <definedName name="OCTT">#REF!</definedName>
    <definedName name="ONE" localSheetId="2">[1]Jan!#REF!</definedName>
    <definedName name="ONE" localSheetId="1">[1]Jan!#REF!</definedName>
    <definedName name="ONE">[1]Jan!#REF!</definedName>
    <definedName name="option">'[6]Dist Misc'!$F$120</definedName>
    <definedName name="OR_305_12mo_endg_200203" localSheetId="2">#REF!</definedName>
    <definedName name="OR_305_12mo_endg_200203" localSheetId="1">#REF!</definedName>
    <definedName name="OR_305_12mo_endg_200203">#REF!</definedName>
    <definedName name="P" localSheetId="2">#REF!</definedName>
    <definedName name="P" localSheetId="1">#REF!</definedName>
    <definedName name="P">#REF!</definedName>
    <definedName name="page1" localSheetId="2">[11]Summary!#REF!</definedName>
    <definedName name="page1" localSheetId="1">[11]Summary!#REF!</definedName>
    <definedName name="page1">[11]Summary!#REF!</definedName>
    <definedName name="Page2" localSheetId="2">'[17]Summary Table - Earned'!#REF!</definedName>
    <definedName name="Page2" localSheetId="1">'[17]Summary Table - Earned'!#REF!</definedName>
    <definedName name="Page2">'[17]Summary Table - Earned'!#REF!</definedName>
    <definedName name="PAGE3" localSheetId="2">#REF!</definedName>
    <definedName name="PAGE3" localSheetId="1">#REF!</definedName>
    <definedName name="PAGE3">#REF!</definedName>
    <definedName name="Page4" localSheetId="2">#REF!</definedName>
    <definedName name="Page4" localSheetId="1">#REF!</definedName>
    <definedName name="Page4">#REF!</definedName>
    <definedName name="Page5" localSheetId="2">#REF!</definedName>
    <definedName name="Page5" localSheetId="1">#REF!</definedName>
    <definedName name="Page5">#REF!</definedName>
    <definedName name="Page62" localSheetId="2">[13]TransInvest!#REF!</definedName>
    <definedName name="Page62" localSheetId="1">[13]TransInvest!#REF!</definedName>
    <definedName name="Page62">[13]TransInvest!#REF!</definedName>
    <definedName name="page65" localSheetId="2">#REF!</definedName>
    <definedName name="page65" localSheetId="1">#REF!</definedName>
    <definedName name="page65">#REF!</definedName>
    <definedName name="page66" localSheetId="2">#REF!</definedName>
    <definedName name="page66" localSheetId="1">#REF!</definedName>
    <definedName name="page66">#REF!</definedName>
    <definedName name="page67" localSheetId="2">#REF!</definedName>
    <definedName name="page67" localSheetId="1">#REF!</definedName>
    <definedName name="page67">#REF!</definedName>
    <definedName name="page68" localSheetId="2">#REF!</definedName>
    <definedName name="page68" localSheetId="1">#REF!</definedName>
    <definedName name="page68">#REF!</definedName>
    <definedName name="page69" localSheetId="2">#REF!</definedName>
    <definedName name="page69" localSheetId="1">#REF!</definedName>
    <definedName name="page69">#REF!</definedName>
    <definedName name="Page7" localSheetId="2">#REF!</definedName>
    <definedName name="Page7" localSheetId="1">#REF!</definedName>
    <definedName name="Page7">#REF!</definedName>
    <definedName name="page8" localSheetId="2">#REF!</definedName>
    <definedName name="page8" localSheetId="1">#REF!</definedName>
    <definedName name="page8">#REF!</definedName>
    <definedName name="PALL" localSheetId="2">#REF!</definedName>
    <definedName name="PALL" localSheetId="1">#REF!</definedName>
    <definedName name="PALL">#REF!</definedName>
    <definedName name="PBLOCK" localSheetId="2">#REF!</definedName>
    <definedName name="PBLOCK" localSheetId="1">#REF!</definedName>
    <definedName name="PBLOCK">#REF!</definedName>
    <definedName name="PBLOCKWZ" localSheetId="2">#REF!</definedName>
    <definedName name="PBLOCKWZ" localSheetId="1">#REF!</definedName>
    <definedName name="PBLOCKWZ">#REF!</definedName>
    <definedName name="PCOMP" localSheetId="2">#REF!</definedName>
    <definedName name="PCOMP" localSheetId="1">#REF!</definedName>
    <definedName name="PCOMP">#REF!</definedName>
    <definedName name="PCOMPOSITES" localSheetId="2">#REF!</definedName>
    <definedName name="PCOMPOSITES" localSheetId="1">#REF!</definedName>
    <definedName name="PCOMPOSITES">#REF!</definedName>
    <definedName name="PCOMPWZ" localSheetId="2">#REF!</definedName>
    <definedName name="PCOMPWZ" localSheetId="1">#REF!</definedName>
    <definedName name="PCOMPWZ">#REF!</definedName>
    <definedName name="PeakMethod">[4]Inputs!$T$5</definedName>
    <definedName name="PLUG" localSheetId="2">#REF!</definedName>
    <definedName name="PLUG" localSheetId="1">#REF!</definedName>
    <definedName name="PLUG">#REF!</definedName>
    <definedName name="PMAC" localSheetId="2">[12]Backup!#REF!</definedName>
    <definedName name="PMAC" localSheetId="1">[12]Backup!#REF!</definedName>
    <definedName name="PMAC">[12]Backup!#REF!</definedName>
    <definedName name="PRESENT" localSheetId="2">#REF!</definedName>
    <definedName name="PRESENT" localSheetId="1">#REF!</definedName>
    <definedName name="PRESENT">#REF!</definedName>
    <definedName name="PRICCHNG" localSheetId="2">#REF!</definedName>
    <definedName name="PRICCHNG" localSheetId="1">#REF!</definedName>
    <definedName name="PRICCHNG">#REF!</definedName>
    <definedName name="_xlnm.Print_Area" localSheetId="0">Blocking!$A$1:$S$856</definedName>
    <definedName name="_xlnm.Print_Area" localSheetId="2">Stipulation!$A$1:$K$29</definedName>
    <definedName name="_xlnm.Print_Area" localSheetId="1">'Table A(GRC+REC)'!$A$1:$AA$53</definedName>
    <definedName name="_xlnm.Print_Area">#REF!</definedName>
    <definedName name="_xlnm.Print_Titles" localSheetId="0">Blocking!$1:$9</definedName>
    <definedName name="_xlnm.Print_Titles" localSheetId="1">'Table A(GRC+REC)'!$A:$M,'Table A(GRC+REC)'!$8:$13</definedName>
    <definedName name="Print_Titles_MI" localSheetId="0">Blocking!$1:$9</definedName>
    <definedName name="PROPOSED" localSheetId="2">#REF!</definedName>
    <definedName name="PROPOSED" localSheetId="1">#REF!</definedName>
    <definedName name="PROPOSED">#REF!</definedName>
    <definedName name="ProRate1" localSheetId="2">#REF!</definedName>
    <definedName name="ProRate1" localSheetId="1">#REF!</definedName>
    <definedName name="ProRate1">#REF!</definedName>
    <definedName name="PTABLES" localSheetId="2">#REF!</definedName>
    <definedName name="PTABLES" localSheetId="1">#REF!</definedName>
    <definedName name="PTABLES">#REF!</definedName>
    <definedName name="PTDMOD" localSheetId="2">#REF!</definedName>
    <definedName name="PTDMOD" localSheetId="1">#REF!</definedName>
    <definedName name="PTDMOD">#REF!</definedName>
    <definedName name="PTDROLL" localSheetId="2">#REF!</definedName>
    <definedName name="PTDROLL" localSheetId="1">#REF!</definedName>
    <definedName name="PTDROLL">#REF!</definedName>
    <definedName name="PTMOD" localSheetId="2">#REF!</definedName>
    <definedName name="PTMOD" localSheetId="1">#REF!</definedName>
    <definedName name="PTMOD">#REF!</definedName>
    <definedName name="PTROLL" localSheetId="2">#REF!</definedName>
    <definedName name="PTROLL" localSheetId="1">#REF!</definedName>
    <definedName name="PTROLL">#REF!</definedName>
    <definedName name="PWORKBACK" localSheetId="2">#REF!</definedName>
    <definedName name="PWORKBACK" localSheetId="1">#REF!</definedName>
    <definedName name="PWORKBACK">#REF!</definedName>
    <definedName name="Query1" localSheetId="2">#REF!</definedName>
    <definedName name="Query1" localSheetId="1">#REF!</definedName>
    <definedName name="Query1">#REF!</definedName>
    <definedName name="RateCd" localSheetId="2">#REF!</definedName>
    <definedName name="RateCd" localSheetId="1">#REF!</definedName>
    <definedName name="RateCd">#REF!</definedName>
    <definedName name="Rates" localSheetId="2">#REF!</definedName>
    <definedName name="Rates" localSheetId="1">#REF!</definedName>
    <definedName name="Rates">#REF!</definedName>
    <definedName name="RC_ADJ" localSheetId="2">#REF!</definedName>
    <definedName name="RC_ADJ" localSheetId="1">#REF!</definedName>
    <definedName name="RC_ADJ">#REF!</definedName>
    <definedName name="RESADJ" localSheetId="2">#REF!</definedName>
    <definedName name="RESADJ" localSheetId="1">#REF!</definedName>
    <definedName name="RESADJ">#REF!</definedName>
    <definedName name="RESIDENTIAL" localSheetId="2">#REF!</definedName>
    <definedName name="RESIDENTIAL" localSheetId="1">#REF!</definedName>
    <definedName name="RESIDENTIAL">#REF!</definedName>
    <definedName name="ResourceSupplier">[7]Variables!$D$28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2">#REF!</definedName>
    <definedName name="REV_SCHD" localSheetId="1">#REF!</definedName>
    <definedName name="REV_SCHD">#REF!</definedName>
    <definedName name="RevCl" localSheetId="2">#REF!</definedName>
    <definedName name="RevCl" localSheetId="1">#REF!</definedName>
    <definedName name="RevCl">#REF!</definedName>
    <definedName name="RevClass" localSheetId="2">#REF!</definedName>
    <definedName name="RevClass" localSheetId="1">#REF!</definedName>
    <definedName name="RevClass">#REF!</definedName>
    <definedName name="Revenue_by_month_take_2" localSheetId="2">#REF!</definedName>
    <definedName name="Revenue_by_month_take_2" localSheetId="1">#REF!</definedName>
    <definedName name="Revenue_by_month_take_2">#REF!</definedName>
    <definedName name="revenue3" localSheetId="2">#REF!</definedName>
    <definedName name="revenue3" localSheetId="1">#REF!</definedName>
    <definedName name="revenue3">#REF!</definedName>
    <definedName name="RevenueCheck" localSheetId="2">#REF!</definedName>
    <definedName name="RevenueCheck" localSheetId="1">#REF!</definedName>
    <definedName name="RevenueCheck">#REF!</definedName>
    <definedName name="Revenues" localSheetId="2">#REF!</definedName>
    <definedName name="Revenues" localSheetId="1">#REF!</definedName>
    <definedName name="Revenues">#REF!</definedName>
    <definedName name="RevReqSettle" localSheetId="2">#REF!</definedName>
    <definedName name="RevReqSettle" localSheetId="1">#REF!</definedName>
    <definedName name="RevReqSettle">#REF!</definedName>
    <definedName name="REVVSTRS" localSheetId="2">#REF!</definedName>
    <definedName name="REVVSTRS" localSheetId="1">#REF!</definedName>
    <definedName name="REVVSTRS">#REF!</definedName>
    <definedName name="RISFORM" localSheetId="2">#REF!</definedName>
    <definedName name="RISFORM" localSheetId="1">#REF!</definedName>
    <definedName name="RISFORM">#REF!</definedName>
    <definedName name="SCH33CUSTS" localSheetId="2">#REF!</definedName>
    <definedName name="SCH33CUSTS" localSheetId="1">#REF!</definedName>
    <definedName name="SCH33CUSTS">#REF!</definedName>
    <definedName name="SCH48ADJ" localSheetId="2">#REF!</definedName>
    <definedName name="SCH48ADJ" localSheetId="1">#REF!</definedName>
    <definedName name="SCH48ADJ">#REF!</definedName>
    <definedName name="SCH98NOR" localSheetId="2">#REF!</definedName>
    <definedName name="SCH98NOR" localSheetId="1">#REF!</definedName>
    <definedName name="SCH98NOR">#REF!</definedName>
    <definedName name="SCHED47" localSheetId="2">#REF!</definedName>
    <definedName name="SCHED47" localSheetId="1">#REF!</definedName>
    <definedName name="SCHED47">#REF!</definedName>
    <definedName name="se" localSheetId="2">#REF!</definedName>
    <definedName name="se" localSheetId="1">#REF!</definedName>
    <definedName name="se">#REF!</definedName>
    <definedName name="SECOND" localSheetId="2">[1]Jan!#REF!</definedName>
    <definedName name="SECOND" localSheetId="1">[1]Jan!#REF!</definedName>
    <definedName name="SECOND">[1]Jan!#REF!</definedName>
    <definedName name="SEP" localSheetId="2">#REF!</definedName>
    <definedName name="SEP" localSheetId="1">#REF!</definedName>
    <definedName name="SEP">#REF!</definedName>
    <definedName name="SEPT" localSheetId="2">#REF!</definedName>
    <definedName name="SEPT" localSheetId="1">#REF!</definedName>
    <definedName name="SEPT">#REF!</definedName>
    <definedName name="September_2001_305_Detail" localSheetId="2">#REF!</definedName>
    <definedName name="September_2001_305_Detail" localSheetId="1">#REF!</definedName>
    <definedName name="September_2001_305_Detail">#REF!</definedName>
    <definedName name="SERVICES_3" localSheetId="2">#REF!</definedName>
    <definedName name="SERVICES_3" localSheetId="1">#REF!</definedName>
    <definedName name="SERVICES_3">#REF!</definedName>
    <definedName name="sg" localSheetId="2">#REF!</definedName>
    <definedName name="sg" localSheetId="1">#REF!</definedName>
    <definedName name="sg">#REF!</definedName>
    <definedName name="solver_adj" localSheetId="0" hidden="1">Blocking!#REF!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Blocking!#REF!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TART" localSheetId="2">[1]Jan!#REF!</definedName>
    <definedName name="START" localSheetId="1">[1]Jan!#REF!</definedName>
    <definedName name="START">[1]Jan!#REF!</definedName>
    <definedName name="SUM_TAB1" localSheetId="2">#REF!</definedName>
    <definedName name="SUM_TAB1" localSheetId="1">#REF!</definedName>
    <definedName name="SUM_TAB1">#REF!</definedName>
    <definedName name="SUM_TAB2" localSheetId="2">#REF!</definedName>
    <definedName name="SUM_TAB2" localSheetId="1">#REF!</definedName>
    <definedName name="SUM_TAB2">#REF!</definedName>
    <definedName name="SUM_TAB3" localSheetId="2">#REF!</definedName>
    <definedName name="SUM_TAB3" localSheetId="1">#REF!</definedName>
    <definedName name="SUM_TAB3">#REF!</definedName>
    <definedName name="TABLE_1" localSheetId="2">#REF!</definedName>
    <definedName name="TABLE_1" localSheetId="1">#REF!</definedName>
    <definedName name="TABLE_1">#REF!</definedName>
    <definedName name="TABLE_2" localSheetId="2">#REF!</definedName>
    <definedName name="TABLE_2" localSheetId="1">#REF!</definedName>
    <definedName name="TABLE_2">#REF!</definedName>
    <definedName name="TABLE_3" localSheetId="2">#REF!</definedName>
    <definedName name="TABLE_3" localSheetId="1">#REF!</definedName>
    <definedName name="TABLE_3">#REF!</definedName>
    <definedName name="TABLE_4" localSheetId="2">#REF!</definedName>
    <definedName name="TABLE_4" localSheetId="1">#REF!</definedName>
    <definedName name="TABLE_4">#REF!</definedName>
    <definedName name="TABLE_4_A" localSheetId="2">#REF!</definedName>
    <definedName name="TABLE_4_A" localSheetId="1">#REF!</definedName>
    <definedName name="TABLE_4_A">#REF!</definedName>
    <definedName name="TABLE_5" localSheetId="2">#REF!</definedName>
    <definedName name="TABLE_5" localSheetId="1">#REF!</definedName>
    <definedName name="TABLE_5">#REF!</definedName>
    <definedName name="TABLE_6" localSheetId="2">#REF!</definedName>
    <definedName name="TABLE_6" localSheetId="1">#REF!</definedName>
    <definedName name="TABLE_6">#REF!</definedName>
    <definedName name="TABLE_7" localSheetId="2">#REF!</definedName>
    <definedName name="TABLE_7" localSheetId="1">#REF!</definedName>
    <definedName name="TABLE_7">#REF!</definedName>
    <definedName name="TABLE1" localSheetId="2">#REF!</definedName>
    <definedName name="TABLE1" localSheetId="1">#REF!</definedName>
    <definedName name="TABLE1">#REF!</definedName>
    <definedName name="TABLE2" localSheetId="2">#REF!</definedName>
    <definedName name="TABLE2" localSheetId="1">#REF!</definedName>
    <definedName name="TABLE2">#REF!</definedName>
    <definedName name="TABLEA" localSheetId="2">#REF!</definedName>
    <definedName name="TABLEA" localSheetId="1">#REF!</definedName>
    <definedName name="TABLEA">#REF!</definedName>
    <definedName name="TABLEB" localSheetId="2">#REF!</definedName>
    <definedName name="TABLEB" localSheetId="1">#REF!</definedName>
    <definedName name="TABLEB">#REF!</definedName>
    <definedName name="TABLEC" localSheetId="2">#REF!</definedName>
    <definedName name="TABLEC" localSheetId="1">#REF!</definedName>
    <definedName name="TABLEC">#REF!</definedName>
    <definedName name="TABLEONE" localSheetId="2">#REF!</definedName>
    <definedName name="TABLEONE" localSheetId="1">#REF!</definedName>
    <definedName name="TABLEONE">#REF!</definedName>
    <definedName name="Targetror">[6]Variables!$I$38</definedName>
    <definedName name="TDMOD" localSheetId="2">#REF!</definedName>
    <definedName name="TDMOD" localSheetId="1">#REF!</definedName>
    <definedName name="TDMOD">#REF!</definedName>
    <definedName name="TDROLL" localSheetId="2">#REF!</definedName>
    <definedName name="TDROLL" localSheetId="1">#REF!</definedName>
    <definedName name="TDROLL">#REF!</definedName>
    <definedName name="TEMPADJ" localSheetId="2">#REF!</definedName>
    <definedName name="TEMPADJ" localSheetId="1">#REF!</definedName>
    <definedName name="TEMPADJ">#REF!</definedName>
    <definedName name="Test" localSheetId="2">#REF!</definedName>
    <definedName name="Test" localSheetId="1">#REF!</definedName>
    <definedName name="Test">#REF!</definedName>
    <definedName name="Test1" localSheetId="2">#REF!</definedName>
    <definedName name="Test1" localSheetId="1">#REF!</definedName>
    <definedName name="Test1">#REF!</definedName>
    <definedName name="Test2" localSheetId="2">#REF!</definedName>
    <definedName name="Test2" localSheetId="1">#REF!</definedName>
    <definedName name="Test2">#REF!</definedName>
    <definedName name="Test3" localSheetId="2">#REF!</definedName>
    <definedName name="Test3" localSheetId="1">#REF!</definedName>
    <definedName name="Test3">#REF!</definedName>
    <definedName name="Test4" localSheetId="2">#REF!</definedName>
    <definedName name="Test4" localSheetId="1">#REF!</definedName>
    <definedName name="Test4">#REF!</definedName>
    <definedName name="Test5" localSheetId="2">#REF!</definedName>
    <definedName name="Test5" localSheetId="1">#REF!</definedName>
    <definedName name="Test5">#REF!</definedName>
    <definedName name="TRANSM_2">[18]Transm2!$A$1:$M$461:'[18]10 Yr FC'!$M$47</definedName>
    <definedName name="UAcct22842Trojd" localSheetId="2">'[4]Func Study'!#REF!</definedName>
    <definedName name="UAcct22842Trojd" localSheetId="1">'[4]Func Study'!#REF!</definedName>
    <definedName name="UAcct22842Trojd">'[4]Func Study'!#REF!</definedName>
    <definedName name="UAcct447Dgu" localSheetId="2">'[4]Func Study'!#REF!</definedName>
    <definedName name="UAcct447Dgu" localSheetId="1">'[4]Func Study'!#REF!</definedName>
    <definedName name="UAcct447Dgu">'[4]Func Study'!#REF!</definedName>
    <definedName name="UNBILREV" localSheetId="2">#REF!</definedName>
    <definedName name="UNBILREV" localSheetId="1">#REF!</definedName>
    <definedName name="UNBILREV">#REF!</definedName>
    <definedName name="UncollectibleAccounts">[7]Variables!$D$25</definedName>
    <definedName name="USBR" localSheetId="2">#REF!</definedName>
    <definedName name="USBR" localSheetId="1">#REF!</definedName>
    <definedName name="USBR">#REF!</definedName>
    <definedName name="UT_305A_FY_2002" localSheetId="2">#REF!</definedName>
    <definedName name="UT_305A_FY_2002" localSheetId="1">#REF!</definedName>
    <definedName name="UT_305A_FY_2002">#REF!</definedName>
    <definedName name="UT_RVN_0302" localSheetId="2">#REF!</definedName>
    <definedName name="UT_RVN_0302" localSheetId="1">#REF!</definedName>
    <definedName name="UT_RVN_0302">#REF!</definedName>
    <definedName name="UtGrossReceipts">[7]Variables!$D$29</definedName>
    <definedName name="ValidAccount">[5]Variables!$AK$43:$AK$369</definedName>
    <definedName name="VAR" localSheetId="2">[12]Backup!#REF!</definedName>
    <definedName name="VAR" localSheetId="1">[12]Backup!#REF!</definedName>
    <definedName name="VAR">[12]Backup!#REF!</definedName>
    <definedName name="VARIABLE" localSheetId="2">[11]Summary!#REF!</definedName>
    <definedName name="VARIABLE" localSheetId="1">[11]Summary!#REF!</definedName>
    <definedName name="VARIABLE">[11]Summary!#REF!</definedName>
    <definedName name="VOUCHER" localSheetId="2">#REF!</definedName>
    <definedName name="VOUCHER" localSheetId="1">#REF!</definedName>
    <definedName name="VOUCHER">#REF!</definedName>
    <definedName name="WaRevenueTax">[7]Variables!$D$27</definedName>
    <definedName name="WEATHER" localSheetId="2">#REF!</definedName>
    <definedName name="WEATHER" localSheetId="1">#REF!</definedName>
    <definedName name="WEATHER">#REF!</definedName>
    <definedName name="WEATHRNORM" localSheetId="2">#REF!</definedName>
    <definedName name="WEATHRNORM" localSheetId="1">#REF!</definedName>
    <definedName name="WEATHRNORM">#REF!</definedName>
    <definedName name="WIDTH" localSheetId="2">#REF!</definedName>
    <definedName name="WIDTH" localSheetId="1">#REF!</definedName>
    <definedName name="WIDTH">#REF!</definedName>
    <definedName name="WinterPeak">'[19]Load Data'!$D$9:$H$12,'[19]Load Data'!$D$20:$H$22</definedName>
    <definedName name="WN" localSheetId="2">#REF!</definedName>
    <definedName name="WN" localSheetId="1">#REF!</definedName>
    <definedName name="WN">#REF!</definedName>
    <definedName name="WORK1" localSheetId="2">#REF!</definedName>
    <definedName name="WORK1" localSheetId="1">#REF!</definedName>
    <definedName name="WORK1">#REF!</definedName>
    <definedName name="WORK2" localSheetId="2">#REF!</definedName>
    <definedName name="WORK2" localSheetId="1">#REF!</definedName>
    <definedName name="WORK2">#REF!</definedName>
    <definedName name="WORK3" localSheetId="2">#REF!</definedName>
    <definedName name="WORK3" localSheetId="1">#REF!</definedName>
    <definedName name="WORK3">#REF!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'[20]Weather Present'!$K$7</definedName>
    <definedName name="y" localSheetId="2" hidden="1">'[3]DSM Output'!$B$21:$B$23</definedName>
    <definedName name="y" hidden="1">'[3]DSM Output'!$B$21:$B$23</definedName>
    <definedName name="Year" localSheetId="2">#REF!</definedName>
    <definedName name="Year" localSheetId="1">#REF!</definedName>
    <definedName name="Year">#REF!</definedName>
    <definedName name="YEFactors">[5]Factors!$S$3:$AG$99</definedName>
    <definedName name="z" localSheetId="2" hidden="1">'[3]DSM Output'!$G$21:$G$23</definedName>
    <definedName name="z" hidden="1">'[3]DSM Output'!$G$21:$G$23</definedName>
    <definedName name="ZA" localSheetId="2">'[21] annual balance '!#REF!</definedName>
    <definedName name="ZA" localSheetId="1">'[21] annual balance '!#REF!</definedName>
    <definedName name="ZA">'[21] annual balance '!#REF!</definedName>
  </definedNames>
  <calcPr calcId="125725"/>
</workbook>
</file>

<file path=xl/calcChain.xml><?xml version="1.0" encoding="utf-8"?>
<calcChain xmlns="http://schemas.openxmlformats.org/spreadsheetml/2006/main">
  <c r="Y326" i="1"/>
  <c r="N28" i="3"/>
  <c r="E7" s="1"/>
  <c r="N25"/>
  <c r="H25"/>
  <c r="H26" s="1"/>
  <c r="C25"/>
  <c r="C26" s="1"/>
  <c r="M24"/>
  <c r="E24"/>
  <c r="F24" s="1"/>
  <c r="E23"/>
  <c r="F23" s="1"/>
  <c r="M22"/>
  <c r="E22"/>
  <c r="F22" s="1"/>
  <c r="M21"/>
  <c r="E21"/>
  <c r="F21" s="1"/>
  <c r="M20"/>
  <c r="E20"/>
  <c r="F20" s="1"/>
  <c r="M19"/>
  <c r="E19"/>
  <c r="F19" s="1"/>
  <c r="M18"/>
  <c r="E18"/>
  <c r="F18" s="1"/>
  <c r="M17"/>
  <c r="F17"/>
  <c r="E17"/>
  <c r="M16"/>
  <c r="E16"/>
  <c r="F16" s="1"/>
  <c r="M15"/>
  <c r="E15"/>
  <c r="F15" s="1"/>
  <c r="M14"/>
  <c r="E14"/>
  <c r="F14" s="1"/>
  <c r="M13"/>
  <c r="E13"/>
  <c r="F13" s="1"/>
  <c r="M12"/>
  <c r="E12"/>
  <c r="F12" s="1"/>
  <c r="M11"/>
  <c r="E11"/>
  <c r="F11" s="1"/>
  <c r="M10"/>
  <c r="E10"/>
  <c r="F10" s="1"/>
  <c r="O9"/>
  <c r="M9"/>
  <c r="E9"/>
  <c r="F9" s="1"/>
  <c r="M8"/>
  <c r="I8"/>
  <c r="E8"/>
  <c r="F8" s="1"/>
  <c r="M7"/>
  <c r="O50" i="2"/>
  <c r="Q50" s="1"/>
  <c r="S50" s="1"/>
  <c r="W49"/>
  <c r="W48"/>
  <c r="O38"/>
  <c r="Q38" s="1"/>
  <c r="S38" s="1"/>
  <c r="W35"/>
  <c r="W34"/>
  <c r="I27"/>
  <c r="I23"/>
  <c r="O17"/>
  <c r="Q17" s="1"/>
  <c r="S17" s="1"/>
  <c r="A16"/>
  <c r="I18"/>
  <c r="G12"/>
  <c r="E12"/>
  <c r="S855" i="1"/>
  <c r="O855"/>
  <c r="K851"/>
  <c r="O851" s="1"/>
  <c r="K850"/>
  <c r="O850" s="1"/>
  <c r="K849"/>
  <c r="O849" s="1"/>
  <c r="K848"/>
  <c r="O848" s="1"/>
  <c r="K847"/>
  <c r="O847" s="1"/>
  <c r="K846"/>
  <c r="O846" s="1"/>
  <c r="K845"/>
  <c r="K852" s="1"/>
  <c r="I852"/>
  <c r="C842"/>
  <c r="E842"/>
  <c r="X837"/>
  <c r="E837"/>
  <c r="X836"/>
  <c r="E836"/>
  <c r="X835"/>
  <c r="E835"/>
  <c r="C832"/>
  <c r="X830"/>
  <c r="E830"/>
  <c r="O830" s="1"/>
  <c r="I830"/>
  <c r="X829"/>
  <c r="I829"/>
  <c r="X828"/>
  <c r="E828"/>
  <c r="X827"/>
  <c r="K827"/>
  <c r="I827"/>
  <c r="K37" i="2"/>
  <c r="C823" i="1"/>
  <c r="I822"/>
  <c r="I821"/>
  <c r="E821"/>
  <c r="K821" s="1"/>
  <c r="I820"/>
  <c r="E820"/>
  <c r="K820" s="1"/>
  <c r="I819"/>
  <c r="E819"/>
  <c r="K819" s="1"/>
  <c r="I818"/>
  <c r="E818"/>
  <c r="K818" s="1"/>
  <c r="I817"/>
  <c r="E817"/>
  <c r="K817" s="1"/>
  <c r="I816"/>
  <c r="I823" s="1"/>
  <c r="K816"/>
  <c r="K36" i="2"/>
  <c r="C812" i="1"/>
  <c r="E810" s="1"/>
  <c r="K810" s="1"/>
  <c r="I811"/>
  <c r="I810"/>
  <c r="I809"/>
  <c r="I807"/>
  <c r="I806"/>
  <c r="V805"/>
  <c r="I804"/>
  <c r="E804"/>
  <c r="K804" s="1"/>
  <c r="I803"/>
  <c r="E803"/>
  <c r="K803" s="1"/>
  <c r="I802"/>
  <c r="E802"/>
  <c r="I800"/>
  <c r="E800"/>
  <c r="K800" s="1"/>
  <c r="I799"/>
  <c r="K799"/>
  <c r="E796"/>
  <c r="I791"/>
  <c r="K34" i="2"/>
  <c r="C791" i="1"/>
  <c r="K790" s="1"/>
  <c r="O790" s="1"/>
  <c r="K787"/>
  <c r="O787" s="1"/>
  <c r="K786"/>
  <c r="K782"/>
  <c r="I780"/>
  <c r="I779"/>
  <c r="I777"/>
  <c r="I775"/>
  <c r="K773"/>
  <c r="I773"/>
  <c r="K772"/>
  <c r="I772"/>
  <c r="K771"/>
  <c r="I771"/>
  <c r="K770"/>
  <c r="I770"/>
  <c r="K769"/>
  <c r="I769"/>
  <c r="K768"/>
  <c r="I768"/>
  <c r="K767"/>
  <c r="I767"/>
  <c r="K765"/>
  <c r="I765"/>
  <c r="K764"/>
  <c r="I764"/>
  <c r="K762"/>
  <c r="I762"/>
  <c r="K761"/>
  <c r="I761"/>
  <c r="K760"/>
  <c r="I760"/>
  <c r="M757"/>
  <c r="G757" s="1"/>
  <c r="S755"/>
  <c r="E755"/>
  <c r="C755"/>
  <c r="C781" s="1"/>
  <c r="I752"/>
  <c r="I749"/>
  <c r="K748"/>
  <c r="K746"/>
  <c r="I746"/>
  <c r="K745"/>
  <c r="I745"/>
  <c r="K744"/>
  <c r="I744"/>
  <c r="K742"/>
  <c r="I742"/>
  <c r="K741"/>
  <c r="I741"/>
  <c r="K739"/>
  <c r="I739"/>
  <c r="K738"/>
  <c r="I738"/>
  <c r="K737"/>
  <c r="I737"/>
  <c r="K735"/>
  <c r="I735"/>
  <c r="K734"/>
  <c r="I734"/>
  <c r="K729"/>
  <c r="I727"/>
  <c r="I726"/>
  <c r="I725"/>
  <c r="I724"/>
  <c r="I723"/>
  <c r="I722"/>
  <c r="I720"/>
  <c r="I719"/>
  <c r="I717"/>
  <c r="I715"/>
  <c r="I712"/>
  <c r="I711"/>
  <c r="C710"/>
  <c r="I709"/>
  <c r="I708"/>
  <c r="I707"/>
  <c r="G704"/>
  <c r="S702"/>
  <c r="E702"/>
  <c r="C702"/>
  <c r="C728" s="1"/>
  <c r="I700"/>
  <c r="I699"/>
  <c r="I698"/>
  <c r="I696"/>
  <c r="I695"/>
  <c r="E693"/>
  <c r="K693" s="1"/>
  <c r="I692"/>
  <c r="E691"/>
  <c r="K691" s="1"/>
  <c r="I689"/>
  <c r="K695"/>
  <c r="I686"/>
  <c r="I685"/>
  <c r="I684"/>
  <c r="I682"/>
  <c r="V681"/>
  <c r="I681"/>
  <c r="K681"/>
  <c r="M677"/>
  <c r="G677" s="1"/>
  <c r="I673"/>
  <c r="I672"/>
  <c r="I670"/>
  <c r="Q668"/>
  <c r="I668"/>
  <c r="I666"/>
  <c r="K665"/>
  <c r="E673"/>
  <c r="K673" s="1"/>
  <c r="M662"/>
  <c r="G662" s="1"/>
  <c r="I658"/>
  <c r="C627"/>
  <c r="I627" s="1"/>
  <c r="I656"/>
  <c r="C660"/>
  <c r="I652"/>
  <c r="E658"/>
  <c r="K658" s="1"/>
  <c r="I650"/>
  <c r="M647"/>
  <c r="G647" s="1"/>
  <c r="I643"/>
  <c r="I642"/>
  <c r="E641"/>
  <c r="I640"/>
  <c r="E639"/>
  <c r="I638"/>
  <c r="I636"/>
  <c r="K635"/>
  <c r="E643"/>
  <c r="G632"/>
  <c r="K631"/>
  <c r="O629"/>
  <c r="K629"/>
  <c r="I629"/>
  <c r="E629"/>
  <c r="C629"/>
  <c r="W628"/>
  <c r="C628"/>
  <c r="I628" s="1"/>
  <c r="C626"/>
  <c r="I626" s="1"/>
  <c r="C625"/>
  <c r="I625" s="1"/>
  <c r="C622"/>
  <c r="I622" s="1"/>
  <c r="W621"/>
  <c r="V621"/>
  <c r="C620"/>
  <c r="I620" s="1"/>
  <c r="G617"/>
  <c r="K616"/>
  <c r="C614"/>
  <c r="I611"/>
  <c r="W610"/>
  <c r="V610"/>
  <c r="I609"/>
  <c r="C607"/>
  <c r="I604"/>
  <c r="K609"/>
  <c r="I602"/>
  <c r="G598"/>
  <c r="K597"/>
  <c r="E596"/>
  <c r="C596"/>
  <c r="W593"/>
  <c r="V593"/>
  <c r="G590"/>
  <c r="K589"/>
  <c r="E588"/>
  <c r="C588"/>
  <c r="E584"/>
  <c r="W583"/>
  <c r="V583"/>
  <c r="E583"/>
  <c r="I583"/>
  <c r="E582"/>
  <c r="G579"/>
  <c r="K578"/>
  <c r="C572"/>
  <c r="I568"/>
  <c r="I566"/>
  <c r="I564"/>
  <c r="I562"/>
  <c r="I560"/>
  <c r="I559"/>
  <c r="I558"/>
  <c r="I556"/>
  <c r="I553"/>
  <c r="I550"/>
  <c r="C546"/>
  <c r="I542"/>
  <c r="I539"/>
  <c r="I537"/>
  <c r="I535"/>
  <c r="I534"/>
  <c r="I531"/>
  <c r="I530"/>
  <c r="I529"/>
  <c r="I527"/>
  <c r="I526"/>
  <c r="I524"/>
  <c r="I522"/>
  <c r="I521"/>
  <c r="I519"/>
  <c r="I517"/>
  <c r="I514"/>
  <c r="I513"/>
  <c r="I511"/>
  <c r="I508"/>
  <c r="I507"/>
  <c r="I576"/>
  <c r="C576"/>
  <c r="C577" s="1"/>
  <c r="C574"/>
  <c r="I501"/>
  <c r="I499"/>
  <c r="I497"/>
  <c r="I494"/>
  <c r="I493"/>
  <c r="I492"/>
  <c r="I491"/>
  <c r="G486"/>
  <c r="K485"/>
  <c r="C484"/>
  <c r="E484"/>
  <c r="E479"/>
  <c r="I479"/>
  <c r="I477"/>
  <c r="E475"/>
  <c r="I475"/>
  <c r="I474"/>
  <c r="E473"/>
  <c r="I473"/>
  <c r="I472"/>
  <c r="E471"/>
  <c r="I471"/>
  <c r="I470"/>
  <c r="E470"/>
  <c r="I468"/>
  <c r="I467"/>
  <c r="E467"/>
  <c r="E466"/>
  <c r="I466"/>
  <c r="I465"/>
  <c r="E464"/>
  <c r="I464"/>
  <c r="I462"/>
  <c r="E462"/>
  <c r="I461"/>
  <c r="E461"/>
  <c r="I460"/>
  <c r="E459"/>
  <c r="I459"/>
  <c r="I458"/>
  <c r="E457"/>
  <c r="I457"/>
  <c r="I456"/>
  <c r="I455"/>
  <c r="E455"/>
  <c r="E454"/>
  <c r="I454"/>
  <c r="I453"/>
  <c r="E452"/>
  <c r="I452"/>
  <c r="X451"/>
  <c r="I450"/>
  <c r="E450"/>
  <c r="E449"/>
  <c r="I449"/>
  <c r="I448"/>
  <c r="E448"/>
  <c r="I447"/>
  <c r="E446"/>
  <c r="I446"/>
  <c r="I445"/>
  <c r="E444"/>
  <c r="I444"/>
  <c r="I443"/>
  <c r="E442"/>
  <c r="I442"/>
  <c r="I441"/>
  <c r="I440"/>
  <c r="I439"/>
  <c r="I438"/>
  <c r="I437"/>
  <c r="C480"/>
  <c r="M432"/>
  <c r="G432" s="1"/>
  <c r="K431"/>
  <c r="I426"/>
  <c r="I423"/>
  <c r="I422"/>
  <c r="I421"/>
  <c r="I420"/>
  <c r="I419"/>
  <c r="I418"/>
  <c r="G414"/>
  <c r="K413"/>
  <c r="C410"/>
  <c r="I409"/>
  <c r="I408"/>
  <c r="W406"/>
  <c r="V406"/>
  <c r="I405"/>
  <c r="I404"/>
  <c r="I403"/>
  <c r="I402"/>
  <c r="I401"/>
  <c r="I400"/>
  <c r="M396"/>
  <c r="G396" s="1"/>
  <c r="I392"/>
  <c r="C394"/>
  <c r="I390"/>
  <c r="K389"/>
  <c r="I389"/>
  <c r="G386"/>
  <c r="I382"/>
  <c r="I381"/>
  <c r="I380"/>
  <c r="X379"/>
  <c r="O379"/>
  <c r="K379"/>
  <c r="I379"/>
  <c r="K378"/>
  <c r="I378"/>
  <c r="I384" s="1"/>
  <c r="I371"/>
  <c r="C373"/>
  <c r="I369"/>
  <c r="I368"/>
  <c r="I367"/>
  <c r="I366"/>
  <c r="K365"/>
  <c r="I365"/>
  <c r="M362"/>
  <c r="M375" s="1"/>
  <c r="G375" s="1"/>
  <c r="I333"/>
  <c r="I358"/>
  <c r="C360"/>
  <c r="I356"/>
  <c r="I355"/>
  <c r="I354"/>
  <c r="I353"/>
  <c r="K352"/>
  <c r="I352"/>
  <c r="M349"/>
  <c r="G349" s="1"/>
  <c r="I345"/>
  <c r="C347"/>
  <c r="I343"/>
  <c r="I342"/>
  <c r="I341"/>
  <c r="I340"/>
  <c r="K339"/>
  <c r="I339"/>
  <c r="G336"/>
  <c r="W334"/>
  <c r="E334"/>
  <c r="K333"/>
  <c r="E333"/>
  <c r="C333"/>
  <c r="C332"/>
  <c r="I332" s="1"/>
  <c r="C331"/>
  <c r="I331" s="1"/>
  <c r="C330"/>
  <c r="I330" s="1"/>
  <c r="C328"/>
  <c r="I328" s="1"/>
  <c r="V327"/>
  <c r="C326"/>
  <c r="I326" s="1"/>
  <c r="C292"/>
  <c r="I319"/>
  <c r="I318"/>
  <c r="I317"/>
  <c r="I316"/>
  <c r="I315"/>
  <c r="I314"/>
  <c r="I313"/>
  <c r="K312"/>
  <c r="I312"/>
  <c r="M309"/>
  <c r="M323" s="1"/>
  <c r="G323" s="1"/>
  <c r="I292"/>
  <c r="I305"/>
  <c r="C307"/>
  <c r="I303"/>
  <c r="I302"/>
  <c r="I301"/>
  <c r="I300"/>
  <c r="I299"/>
  <c r="K298"/>
  <c r="I298"/>
  <c r="G295"/>
  <c r="K292"/>
  <c r="E292"/>
  <c r="C289"/>
  <c r="I289" s="1"/>
  <c r="C288"/>
  <c r="I288" s="1"/>
  <c r="V286"/>
  <c r="C286"/>
  <c r="I286" s="1"/>
  <c r="C285"/>
  <c r="I285" s="1"/>
  <c r="E284"/>
  <c r="K284" s="1"/>
  <c r="C284"/>
  <c r="I284" s="1"/>
  <c r="G281"/>
  <c r="K280"/>
  <c r="E279"/>
  <c r="C279"/>
  <c r="I274"/>
  <c r="E273"/>
  <c r="K273" s="1"/>
  <c r="I273"/>
  <c r="W272"/>
  <c r="I272"/>
  <c r="E271"/>
  <c r="K271" s="1"/>
  <c r="I271"/>
  <c r="I270"/>
  <c r="E269"/>
  <c r="K269" s="1"/>
  <c r="I269"/>
  <c r="I268"/>
  <c r="E267"/>
  <c r="K267" s="1"/>
  <c r="I267"/>
  <c r="I265"/>
  <c r="E264"/>
  <c r="K264" s="1"/>
  <c r="I264"/>
  <c r="I263"/>
  <c r="E262"/>
  <c r="K262" s="1"/>
  <c r="I262"/>
  <c r="I261"/>
  <c r="E260"/>
  <c r="K260" s="1"/>
  <c r="I260"/>
  <c r="I258"/>
  <c r="E257"/>
  <c r="K257" s="1"/>
  <c r="I257"/>
  <c r="I256"/>
  <c r="E255"/>
  <c r="K255" s="1"/>
  <c r="I255"/>
  <c r="I254"/>
  <c r="E253"/>
  <c r="K253" s="1"/>
  <c r="I253"/>
  <c r="I252"/>
  <c r="E251"/>
  <c r="K251" s="1"/>
  <c r="I251"/>
  <c r="I250"/>
  <c r="E249"/>
  <c r="K249" s="1"/>
  <c r="I249"/>
  <c r="I248"/>
  <c r="E246"/>
  <c r="K246" s="1"/>
  <c r="I245"/>
  <c r="E244"/>
  <c r="K244" s="1"/>
  <c r="E243"/>
  <c r="C275"/>
  <c r="M239"/>
  <c r="G239"/>
  <c r="I235"/>
  <c r="I233"/>
  <c r="I231"/>
  <c r="I229"/>
  <c r="K228"/>
  <c r="I228"/>
  <c r="M225"/>
  <c r="G225" s="1"/>
  <c r="I221"/>
  <c r="I220"/>
  <c r="C223"/>
  <c r="E219" s="1"/>
  <c r="E217"/>
  <c r="I216"/>
  <c r="E215"/>
  <c r="K214"/>
  <c r="I214"/>
  <c r="G211"/>
  <c r="E209"/>
  <c r="K208"/>
  <c r="I208"/>
  <c r="E208"/>
  <c r="C208"/>
  <c r="C207"/>
  <c r="I207" s="1"/>
  <c r="C206"/>
  <c r="I206" s="1"/>
  <c r="C205"/>
  <c r="I205" s="1"/>
  <c r="C204"/>
  <c r="I204" s="1"/>
  <c r="C203"/>
  <c r="I203" s="1"/>
  <c r="C202"/>
  <c r="I202" s="1"/>
  <c r="C201"/>
  <c r="I201" s="1"/>
  <c r="E200"/>
  <c r="K200" s="1"/>
  <c r="C200"/>
  <c r="I200" s="1"/>
  <c r="K196"/>
  <c r="I193"/>
  <c r="C190"/>
  <c r="C195" s="1"/>
  <c r="I191"/>
  <c r="E189"/>
  <c r="K189" s="1"/>
  <c r="I188"/>
  <c r="E187"/>
  <c r="K187" s="1"/>
  <c r="E193"/>
  <c r="K193" s="1"/>
  <c r="I186"/>
  <c r="K182"/>
  <c r="I179"/>
  <c r="I178"/>
  <c r="C176"/>
  <c r="C181" s="1"/>
  <c r="E177" s="1"/>
  <c r="I175"/>
  <c r="E174"/>
  <c r="K174" s="1"/>
  <c r="I173"/>
  <c r="K172"/>
  <c r="I172"/>
  <c r="M169"/>
  <c r="M183" s="1"/>
  <c r="I165"/>
  <c r="C162"/>
  <c r="I163"/>
  <c r="E162"/>
  <c r="I160"/>
  <c r="E165"/>
  <c r="K165" s="1"/>
  <c r="I158"/>
  <c r="M155"/>
  <c r="G155" s="1"/>
  <c r="I151"/>
  <c r="I150"/>
  <c r="I149"/>
  <c r="E148"/>
  <c r="C148"/>
  <c r="C153" s="1"/>
  <c r="I147"/>
  <c r="E146"/>
  <c r="K146" s="1"/>
  <c r="I145"/>
  <c r="K144"/>
  <c r="I144"/>
  <c r="M141"/>
  <c r="G141" s="1"/>
  <c r="I137"/>
  <c r="I136"/>
  <c r="C139"/>
  <c r="C134"/>
  <c r="E133"/>
  <c r="I132"/>
  <c r="E131"/>
  <c r="E137"/>
  <c r="I130"/>
  <c r="W127"/>
  <c r="G127"/>
  <c r="E125"/>
  <c r="I124"/>
  <c r="E124"/>
  <c r="C124"/>
  <c r="C123"/>
  <c r="I123" s="1"/>
  <c r="C122"/>
  <c r="I122" s="1"/>
  <c r="C121"/>
  <c r="I121" s="1"/>
  <c r="V120"/>
  <c r="C119"/>
  <c r="I119" s="1"/>
  <c r="C118"/>
  <c r="I118" s="1"/>
  <c r="C117"/>
  <c r="I117" s="1"/>
  <c r="E116"/>
  <c r="K116" s="1"/>
  <c r="C116"/>
  <c r="I116" s="1"/>
  <c r="I125" s="1"/>
  <c r="G113"/>
  <c r="I109"/>
  <c r="I108"/>
  <c r="C106"/>
  <c r="E105"/>
  <c r="K105" s="1"/>
  <c r="I105"/>
  <c r="I104"/>
  <c r="E103"/>
  <c r="K103" s="1"/>
  <c r="I103"/>
  <c r="I102"/>
  <c r="G99"/>
  <c r="I95"/>
  <c r="I94"/>
  <c r="E93"/>
  <c r="K93" s="1"/>
  <c r="I93"/>
  <c r="E92"/>
  <c r="K92" s="1"/>
  <c r="I92"/>
  <c r="E91"/>
  <c r="K91" s="1"/>
  <c r="I90"/>
  <c r="I89"/>
  <c r="I88"/>
  <c r="I87"/>
  <c r="G84"/>
  <c r="K83"/>
  <c r="I80"/>
  <c r="E79"/>
  <c r="K79" s="1"/>
  <c r="I79"/>
  <c r="I78"/>
  <c r="I77"/>
  <c r="O76"/>
  <c r="E87"/>
  <c r="E80"/>
  <c r="M73"/>
  <c r="G73" s="1"/>
  <c r="K72"/>
  <c r="C65"/>
  <c r="I64"/>
  <c r="M63"/>
  <c r="X63" s="1"/>
  <c r="I63"/>
  <c r="M62"/>
  <c r="X62" s="1"/>
  <c r="I61"/>
  <c r="I60"/>
  <c r="I59"/>
  <c r="I58"/>
  <c r="X57"/>
  <c r="I57"/>
  <c r="X56"/>
  <c r="I56"/>
  <c r="M55"/>
  <c r="M54"/>
  <c r="X53"/>
  <c r="K64"/>
  <c r="G50"/>
  <c r="K49"/>
  <c r="I41"/>
  <c r="M40"/>
  <c r="X40" s="1"/>
  <c r="I40"/>
  <c r="M39"/>
  <c r="X39" s="1"/>
  <c r="I38"/>
  <c r="I37"/>
  <c r="I36"/>
  <c r="M34"/>
  <c r="M33"/>
  <c r="X32"/>
  <c r="G29"/>
  <c r="C21"/>
  <c r="M20"/>
  <c r="M41" s="1"/>
  <c r="I20"/>
  <c r="X19"/>
  <c r="I19"/>
  <c r="X18"/>
  <c r="I17"/>
  <c r="W16"/>
  <c r="I15"/>
  <c r="X11"/>
  <c r="K20"/>
  <c r="G309" l="1"/>
  <c r="I321"/>
  <c r="E789"/>
  <c r="E790" s="1"/>
  <c r="E25" i="3"/>
  <c r="V630" i="1" s="1"/>
  <c r="F7" i="3"/>
  <c r="V16" i="1"/>
  <c r="I24" i="3"/>
  <c r="I7"/>
  <c r="K8"/>
  <c r="I127" i="1"/>
  <c r="I209"/>
  <c r="I211"/>
  <c r="G362"/>
  <c r="E788"/>
  <c r="I812"/>
  <c r="E806"/>
  <c r="K806" s="1"/>
  <c r="E807"/>
  <c r="K807" s="1"/>
  <c r="E809"/>
  <c r="K809" s="1"/>
  <c r="X41"/>
  <c r="K87"/>
  <c r="E95"/>
  <c r="K95" s="1"/>
  <c r="I84"/>
  <c r="O39"/>
  <c r="K39"/>
  <c r="K80"/>
  <c r="O80"/>
  <c r="K137"/>
  <c r="E149"/>
  <c r="K149" s="1"/>
  <c r="M197"/>
  <c r="G197" s="1"/>
  <c r="G183"/>
  <c r="E175"/>
  <c r="K175" s="1"/>
  <c r="E173"/>
  <c r="K173" s="1"/>
  <c r="E191"/>
  <c r="E188"/>
  <c r="K188" s="1"/>
  <c r="E220"/>
  <c r="E218"/>
  <c r="E216"/>
  <c r="E303"/>
  <c r="E301"/>
  <c r="E299"/>
  <c r="E343"/>
  <c r="E341"/>
  <c r="E369"/>
  <c r="E367"/>
  <c r="K367" s="1"/>
  <c r="K43" i="2"/>
  <c r="I11" i="1"/>
  <c r="C12"/>
  <c r="I14"/>
  <c r="I16"/>
  <c r="I18"/>
  <c r="C27"/>
  <c r="I32"/>
  <c r="C33"/>
  <c r="I35"/>
  <c r="I50" s="1"/>
  <c r="I39"/>
  <c r="K40"/>
  <c r="K41"/>
  <c r="C42"/>
  <c r="C48" s="1"/>
  <c r="M64"/>
  <c r="C71"/>
  <c r="E68" s="1"/>
  <c r="K76"/>
  <c r="O79"/>
  <c r="I91"/>
  <c r="I97" s="1"/>
  <c r="I110"/>
  <c r="E94"/>
  <c r="K94" s="1"/>
  <c r="E102"/>
  <c r="E104"/>
  <c r="K104" s="1"/>
  <c r="E107"/>
  <c r="I410"/>
  <c r="K15" i="2"/>
  <c r="K16"/>
  <c r="K131" i="1"/>
  <c r="K133"/>
  <c r="E135"/>
  <c r="C167"/>
  <c r="C120"/>
  <c r="K177"/>
  <c r="E178"/>
  <c r="K178" s="1"/>
  <c r="K215"/>
  <c r="K217"/>
  <c r="K219"/>
  <c r="K42" i="2"/>
  <c r="E356" i="1"/>
  <c r="E354"/>
  <c r="K354" s="1"/>
  <c r="C334"/>
  <c r="E391"/>
  <c r="K391" s="1"/>
  <c r="K399"/>
  <c r="K417"/>
  <c r="O20"/>
  <c r="X20"/>
  <c r="K28"/>
  <c r="I53"/>
  <c r="C54"/>
  <c r="I62"/>
  <c r="I73" s="1"/>
  <c r="I76"/>
  <c r="I82" s="1"/>
  <c r="C82"/>
  <c r="E77" s="1"/>
  <c r="C97"/>
  <c r="I107"/>
  <c r="I111" s="1"/>
  <c r="E150"/>
  <c r="K150" s="1"/>
  <c r="K21" i="2"/>
  <c r="K25"/>
  <c r="I43"/>
  <c r="E570" i="1"/>
  <c r="E544"/>
  <c r="K584"/>
  <c r="K45" i="2"/>
  <c r="K639" i="1"/>
  <c r="K641"/>
  <c r="E779"/>
  <c r="K779" s="1"/>
  <c r="E777"/>
  <c r="K777" s="1"/>
  <c r="E775"/>
  <c r="K775" s="1"/>
  <c r="E752"/>
  <c r="K752" s="1"/>
  <c r="E749"/>
  <c r="K749" s="1"/>
  <c r="O786"/>
  <c r="K48" i="2"/>
  <c r="K126" i="1"/>
  <c r="K130"/>
  <c r="I131"/>
  <c r="E132"/>
  <c r="I133"/>
  <c r="E145"/>
  <c r="K145" s="1"/>
  <c r="I146"/>
  <c r="E147"/>
  <c r="K147" s="1"/>
  <c r="E151"/>
  <c r="K151" s="1"/>
  <c r="K158"/>
  <c r="I159"/>
  <c r="I161"/>
  <c r="I164"/>
  <c r="I174"/>
  <c r="I177"/>
  <c r="E179"/>
  <c r="K179" s="1"/>
  <c r="K186"/>
  <c r="I187"/>
  <c r="I189"/>
  <c r="I192"/>
  <c r="I215"/>
  <c r="I217"/>
  <c r="I219"/>
  <c r="I230"/>
  <c r="I232"/>
  <c r="I234"/>
  <c r="C237"/>
  <c r="K243"/>
  <c r="I244"/>
  <c r="E245"/>
  <c r="K245" s="1"/>
  <c r="I246"/>
  <c r="E248"/>
  <c r="K248" s="1"/>
  <c r="E250"/>
  <c r="K250" s="1"/>
  <c r="E252"/>
  <c r="K252" s="1"/>
  <c r="E254"/>
  <c r="K254" s="1"/>
  <c r="E256"/>
  <c r="K256" s="1"/>
  <c r="E258"/>
  <c r="K258" s="1"/>
  <c r="E261"/>
  <c r="K261" s="1"/>
  <c r="E263"/>
  <c r="K263" s="1"/>
  <c r="E265"/>
  <c r="K265" s="1"/>
  <c r="E268"/>
  <c r="K268" s="1"/>
  <c r="E270"/>
  <c r="K270" s="1"/>
  <c r="E272"/>
  <c r="K272" s="1"/>
  <c r="E274"/>
  <c r="K274" s="1"/>
  <c r="C287"/>
  <c r="I287" s="1"/>
  <c r="I295" s="1"/>
  <c r="C290"/>
  <c r="I290" s="1"/>
  <c r="C291"/>
  <c r="I291" s="1"/>
  <c r="E293"/>
  <c r="K294"/>
  <c r="E300"/>
  <c r="E302"/>
  <c r="E304"/>
  <c r="C321"/>
  <c r="E315" s="1"/>
  <c r="K315" s="1"/>
  <c r="E326"/>
  <c r="K326" s="1"/>
  <c r="C327"/>
  <c r="I327" s="1"/>
  <c r="C329"/>
  <c r="I329" s="1"/>
  <c r="E340"/>
  <c r="E342"/>
  <c r="E344"/>
  <c r="E353"/>
  <c r="K353" s="1"/>
  <c r="E355"/>
  <c r="K355" s="1"/>
  <c r="E357"/>
  <c r="K357" s="1"/>
  <c r="E366"/>
  <c r="K366" s="1"/>
  <c r="E368"/>
  <c r="K368" s="1"/>
  <c r="E370"/>
  <c r="K370" s="1"/>
  <c r="E381"/>
  <c r="C384"/>
  <c r="E390"/>
  <c r="K390" s="1"/>
  <c r="I391"/>
  <c r="I394" s="1"/>
  <c r="E392"/>
  <c r="K392" s="1"/>
  <c r="C406"/>
  <c r="I414"/>
  <c r="C424"/>
  <c r="C428"/>
  <c r="E436"/>
  <c r="E437"/>
  <c r="E438"/>
  <c r="E439"/>
  <c r="E440"/>
  <c r="E441"/>
  <c r="E443"/>
  <c r="E445"/>
  <c r="E447"/>
  <c r="K448"/>
  <c r="E453"/>
  <c r="E456"/>
  <c r="E458"/>
  <c r="E460"/>
  <c r="K461"/>
  <c r="K462"/>
  <c r="E465"/>
  <c r="E468"/>
  <c r="K470"/>
  <c r="E472"/>
  <c r="E474"/>
  <c r="E477"/>
  <c r="E515"/>
  <c r="E518"/>
  <c r="E520"/>
  <c r="E528"/>
  <c r="E533"/>
  <c r="E567"/>
  <c r="E569"/>
  <c r="C615"/>
  <c r="E607" s="1"/>
  <c r="E651"/>
  <c r="K651" s="1"/>
  <c r="E653"/>
  <c r="K653" s="1"/>
  <c r="E655"/>
  <c r="K655" s="1"/>
  <c r="E714"/>
  <c r="K714" s="1"/>
  <c r="E716"/>
  <c r="K716" s="1"/>
  <c r="E718"/>
  <c r="K718" s="1"/>
  <c r="K22" i="2"/>
  <c r="K26"/>
  <c r="K582" i="1"/>
  <c r="K46" i="2"/>
  <c r="E628" i="1"/>
  <c r="K628" s="1"/>
  <c r="K643"/>
  <c r="E656"/>
  <c r="K656" s="1"/>
  <c r="E654"/>
  <c r="K654" s="1"/>
  <c r="E652"/>
  <c r="K652" s="1"/>
  <c r="E719"/>
  <c r="K719" s="1"/>
  <c r="E717"/>
  <c r="K717" s="1"/>
  <c r="E715"/>
  <c r="K715" s="1"/>
  <c r="E712"/>
  <c r="K712" s="1"/>
  <c r="E711"/>
  <c r="E709"/>
  <c r="K709" s="1"/>
  <c r="E708"/>
  <c r="K708" s="1"/>
  <c r="E707"/>
  <c r="K707" s="1"/>
  <c r="E692"/>
  <c r="K692" s="1"/>
  <c r="E689"/>
  <c r="K689" s="1"/>
  <c r="E685"/>
  <c r="K685" s="1"/>
  <c r="K828"/>
  <c r="O828"/>
  <c r="E838"/>
  <c r="K835"/>
  <c r="O835"/>
  <c r="K836"/>
  <c r="O836"/>
  <c r="K837"/>
  <c r="O837"/>
  <c r="I135"/>
  <c r="G169"/>
  <c r="E192"/>
  <c r="K192" s="1"/>
  <c r="V209"/>
  <c r="K210"/>
  <c r="I218"/>
  <c r="E221"/>
  <c r="I243"/>
  <c r="I275" s="1"/>
  <c r="I281" s="1"/>
  <c r="I304"/>
  <c r="I307" s="1"/>
  <c r="I344"/>
  <c r="I357"/>
  <c r="I360" s="1"/>
  <c r="I370"/>
  <c r="I373" s="1"/>
  <c r="I399"/>
  <c r="I406" s="1"/>
  <c r="K400"/>
  <c r="I417"/>
  <c r="I424" s="1"/>
  <c r="I427"/>
  <c r="I428" s="1"/>
  <c r="I436"/>
  <c r="I480" s="1"/>
  <c r="I484" s="1"/>
  <c r="K442"/>
  <c r="K444"/>
  <c r="K446"/>
  <c r="K449"/>
  <c r="K450"/>
  <c r="K452"/>
  <c r="K454"/>
  <c r="K455"/>
  <c r="K457"/>
  <c r="K459"/>
  <c r="K464"/>
  <c r="K466"/>
  <c r="K467"/>
  <c r="K471"/>
  <c r="K473"/>
  <c r="K475"/>
  <c r="K479"/>
  <c r="E509"/>
  <c r="E512"/>
  <c r="E523"/>
  <c r="E525"/>
  <c r="E536"/>
  <c r="E538"/>
  <c r="E540"/>
  <c r="E543"/>
  <c r="E549"/>
  <c r="E552"/>
  <c r="E554"/>
  <c r="E557"/>
  <c r="E561"/>
  <c r="E563"/>
  <c r="E751"/>
  <c r="K751" s="1"/>
  <c r="K755" s="1"/>
  <c r="E753"/>
  <c r="K753" s="1"/>
  <c r="E776"/>
  <c r="K776" s="1"/>
  <c r="E778"/>
  <c r="K778" s="1"/>
  <c r="I495"/>
  <c r="I498"/>
  <c r="I500"/>
  <c r="C504"/>
  <c r="I509"/>
  <c r="I512"/>
  <c r="I515"/>
  <c r="I518"/>
  <c r="I520"/>
  <c r="I523"/>
  <c r="I525"/>
  <c r="E527"/>
  <c r="I528"/>
  <c r="E530"/>
  <c r="I533"/>
  <c r="E534"/>
  <c r="I536"/>
  <c r="E537"/>
  <c r="I538"/>
  <c r="I540"/>
  <c r="I543"/>
  <c r="I549"/>
  <c r="I552"/>
  <c r="E553"/>
  <c r="I554"/>
  <c r="E556"/>
  <c r="I557"/>
  <c r="E559"/>
  <c r="I561"/>
  <c r="I563"/>
  <c r="I567"/>
  <c r="I569"/>
  <c r="I582"/>
  <c r="K583"/>
  <c r="I584"/>
  <c r="K585"/>
  <c r="K586"/>
  <c r="K590" s="1"/>
  <c r="K593"/>
  <c r="I594"/>
  <c r="I598" s="1"/>
  <c r="K602"/>
  <c r="I603"/>
  <c r="I607" s="1"/>
  <c r="I605"/>
  <c r="I610"/>
  <c r="I614" s="1"/>
  <c r="I615" s="1"/>
  <c r="I612"/>
  <c r="I635"/>
  <c r="I637"/>
  <c r="I639"/>
  <c r="E640"/>
  <c r="I641"/>
  <c r="C645"/>
  <c r="E637" s="1"/>
  <c r="K650"/>
  <c r="I651"/>
  <c r="I653"/>
  <c r="I655"/>
  <c r="I657"/>
  <c r="I665"/>
  <c r="I667"/>
  <c r="I669"/>
  <c r="I671"/>
  <c r="C675"/>
  <c r="I688"/>
  <c r="I691"/>
  <c r="I693"/>
  <c r="I714"/>
  <c r="I716"/>
  <c r="I718"/>
  <c r="I748"/>
  <c r="I751"/>
  <c r="I753"/>
  <c r="I776"/>
  <c r="I778"/>
  <c r="K802"/>
  <c r="E811"/>
  <c r="K811" s="1"/>
  <c r="E822"/>
  <c r="K822" s="1"/>
  <c r="K823" s="1"/>
  <c r="O827"/>
  <c r="I828"/>
  <c r="I832" s="1"/>
  <c r="E829"/>
  <c r="K830"/>
  <c r="I835"/>
  <c r="I836"/>
  <c r="I837"/>
  <c r="C838"/>
  <c r="O845"/>
  <c r="O852" s="1"/>
  <c r="I12" i="2"/>
  <c r="A17"/>
  <c r="K31"/>
  <c r="K33"/>
  <c r="I44"/>
  <c r="I46"/>
  <c r="I26" i="3"/>
  <c r="E26"/>
  <c r="F26" s="1"/>
  <c r="F25"/>
  <c r="I585" i="1"/>
  <c r="I586"/>
  <c r="I590" s="1"/>
  <c r="I593"/>
  <c r="K594"/>
  <c r="K598" s="1"/>
  <c r="E620"/>
  <c r="K620" s="1"/>
  <c r="C621"/>
  <c r="I621" s="1"/>
  <c r="C623"/>
  <c r="I623" s="1"/>
  <c r="C624"/>
  <c r="I624" s="1"/>
  <c r="E630"/>
  <c r="I654"/>
  <c r="E657"/>
  <c r="K657" s="1"/>
  <c r="E682"/>
  <c r="K682" s="1"/>
  <c r="E684"/>
  <c r="K684" s="1"/>
  <c r="E686"/>
  <c r="K686" s="1"/>
  <c r="K688"/>
  <c r="E696"/>
  <c r="K696" s="1"/>
  <c r="E698"/>
  <c r="K698" s="1"/>
  <c r="E699"/>
  <c r="K699" s="1"/>
  <c r="E700"/>
  <c r="K700" s="1"/>
  <c r="E722"/>
  <c r="K722" s="1"/>
  <c r="E723"/>
  <c r="K723" s="1"/>
  <c r="E724"/>
  <c r="K724" s="1"/>
  <c r="E725"/>
  <c r="K725" s="1"/>
  <c r="E726"/>
  <c r="K726" s="1"/>
  <c r="E727"/>
  <c r="K727" s="1"/>
  <c r="E780"/>
  <c r="K780" s="1"/>
  <c r="E787"/>
  <c r="U788" s="1"/>
  <c r="K788"/>
  <c r="O788" s="1"/>
  <c r="K789"/>
  <c r="O789" s="1"/>
  <c r="K795"/>
  <c r="C796"/>
  <c r="I796"/>
  <c r="K12" i="2"/>
  <c r="A18"/>
  <c r="A20"/>
  <c r="K35"/>
  <c r="K44"/>
  <c r="I45"/>
  <c r="K49"/>
  <c r="K24" i="3"/>
  <c r="K7"/>
  <c r="I9"/>
  <c r="K9" s="1"/>
  <c r="I10"/>
  <c r="K10" s="1"/>
  <c r="O11"/>
  <c r="I13"/>
  <c r="K13" s="1"/>
  <c r="I15"/>
  <c r="K15" s="1"/>
  <c r="I17"/>
  <c r="K17" s="1"/>
  <c r="I19"/>
  <c r="K19" s="1"/>
  <c r="I21"/>
  <c r="K21" s="1"/>
  <c r="I23"/>
  <c r="K23" s="1"/>
  <c r="M23"/>
  <c r="I25"/>
  <c r="M25"/>
  <c r="I11"/>
  <c r="K11" s="1"/>
  <c r="I12"/>
  <c r="K12" s="1"/>
  <c r="I14"/>
  <c r="K14" s="1"/>
  <c r="I16"/>
  <c r="K16" s="1"/>
  <c r="I18"/>
  <c r="K18" s="1"/>
  <c r="I20"/>
  <c r="K20" s="1"/>
  <c r="I22"/>
  <c r="K22" s="1"/>
  <c r="A21" i="2" l="1"/>
  <c r="A22" s="1"/>
  <c r="K812" i="1"/>
  <c r="I630"/>
  <c r="I755"/>
  <c r="I781" s="1"/>
  <c r="I702"/>
  <c r="I728" s="1"/>
  <c r="I544"/>
  <c r="I546" s="1"/>
  <c r="I502"/>
  <c r="K781"/>
  <c r="K702"/>
  <c r="I596"/>
  <c r="K757"/>
  <c r="I757"/>
  <c r="I783" s="1"/>
  <c r="I704"/>
  <c r="I730" s="1"/>
  <c r="I293"/>
  <c r="I223"/>
  <c r="I167"/>
  <c r="I139"/>
  <c r="K783"/>
  <c r="E58"/>
  <c r="I29"/>
  <c r="V804"/>
  <c r="I237"/>
  <c r="I195"/>
  <c r="I181"/>
  <c r="K153"/>
  <c r="K181"/>
  <c r="E56"/>
  <c r="I47" i="2"/>
  <c r="I51" s="1"/>
  <c r="I504" i="1"/>
  <c r="I308"/>
  <c r="E604"/>
  <c r="K604" s="1"/>
  <c r="E603"/>
  <c r="K603" s="1"/>
  <c r="E614"/>
  <c r="E44"/>
  <c r="E37"/>
  <c r="K37" s="1"/>
  <c r="E35"/>
  <c r="E45"/>
  <c r="E36"/>
  <c r="K36" s="1"/>
  <c r="E43"/>
  <c r="E38"/>
  <c r="K38" s="1"/>
  <c r="I98"/>
  <c r="K637"/>
  <c r="I224"/>
  <c r="I140"/>
  <c r="K796"/>
  <c r="O795"/>
  <c r="O796" s="1"/>
  <c r="O829"/>
  <c r="K829"/>
  <c r="K832" s="1"/>
  <c r="E670"/>
  <c r="K670" s="1"/>
  <c r="E668"/>
  <c r="E666"/>
  <c r="K666" s="1"/>
  <c r="K559"/>
  <c r="K556"/>
  <c r="K553"/>
  <c r="K537"/>
  <c r="K534"/>
  <c r="K530"/>
  <c r="K527"/>
  <c r="K561"/>
  <c r="K554"/>
  <c r="K549"/>
  <c r="K540"/>
  <c r="K536"/>
  <c r="K523"/>
  <c r="K509"/>
  <c r="K221"/>
  <c r="E710"/>
  <c r="E720" s="1"/>
  <c r="K720" s="1"/>
  <c r="K711"/>
  <c r="K567"/>
  <c r="K528"/>
  <c r="K518"/>
  <c r="K474"/>
  <c r="K465"/>
  <c r="K458"/>
  <c r="K453"/>
  <c r="K447"/>
  <c r="K443"/>
  <c r="K440"/>
  <c r="K438"/>
  <c r="E480"/>
  <c r="K436"/>
  <c r="E329"/>
  <c r="K329" s="1"/>
  <c r="K342"/>
  <c r="K302"/>
  <c r="K24" i="2"/>
  <c r="E233" i="1"/>
  <c r="E231"/>
  <c r="E229"/>
  <c r="K132"/>
  <c r="E564"/>
  <c r="E558"/>
  <c r="E502"/>
  <c r="E568"/>
  <c r="E566"/>
  <c r="E562"/>
  <c r="E560"/>
  <c r="E550"/>
  <c r="E358"/>
  <c r="K358" s="1"/>
  <c r="K356"/>
  <c r="E163"/>
  <c r="E160"/>
  <c r="K160" s="1"/>
  <c r="K107"/>
  <c r="E109"/>
  <c r="K109" s="1"/>
  <c r="K102"/>
  <c r="O64"/>
  <c r="X64"/>
  <c r="K62"/>
  <c r="K58"/>
  <c r="O56"/>
  <c r="K56"/>
  <c r="E24"/>
  <c r="E22"/>
  <c r="E17"/>
  <c r="E15"/>
  <c r="K15" s="1"/>
  <c r="E371"/>
  <c r="K371" s="1"/>
  <c r="K369"/>
  <c r="K341"/>
  <c r="E328"/>
  <c r="K299"/>
  <c r="E305"/>
  <c r="K303"/>
  <c r="K216"/>
  <c r="K220"/>
  <c r="K191"/>
  <c r="E190"/>
  <c r="I183"/>
  <c r="K183"/>
  <c r="I632"/>
  <c r="K26" i="3"/>
  <c r="M12" i="2"/>
  <c r="I838" i="1"/>
  <c r="I842" s="1"/>
  <c r="O832"/>
  <c r="I675"/>
  <c r="I645"/>
  <c r="K596"/>
  <c r="I588"/>
  <c r="I570"/>
  <c r="I572" s="1"/>
  <c r="I617"/>
  <c r="K838"/>
  <c r="K842" s="1"/>
  <c r="E669"/>
  <c r="I660"/>
  <c r="I486"/>
  <c r="E401"/>
  <c r="K401" s="1"/>
  <c r="E380"/>
  <c r="K380" s="1"/>
  <c r="I336"/>
  <c r="I309"/>
  <c r="K195"/>
  <c r="I141"/>
  <c r="O791"/>
  <c r="E624"/>
  <c r="K624" s="1"/>
  <c r="K27" i="2"/>
  <c r="C430" i="1"/>
  <c r="K394"/>
  <c r="I279"/>
  <c r="E275"/>
  <c r="E232"/>
  <c r="I153"/>
  <c r="I71"/>
  <c r="E408"/>
  <c r="K408" s="1"/>
  <c r="I28" i="2"/>
  <c r="K47"/>
  <c r="I225" i="1"/>
  <c r="C125"/>
  <c r="K18" i="2"/>
  <c r="I347" i="1"/>
  <c r="E159"/>
  <c r="K159" s="1"/>
  <c r="I48"/>
  <c r="I27"/>
  <c r="E123"/>
  <c r="K123" s="1"/>
  <c r="C110"/>
  <c r="C111" s="1"/>
  <c r="E16"/>
  <c r="K16" s="1"/>
  <c r="K32" i="2"/>
  <c r="E638" i="1"/>
  <c r="E636"/>
  <c r="C630"/>
  <c r="E90"/>
  <c r="K90" s="1"/>
  <c r="E89"/>
  <c r="K89" s="1"/>
  <c r="E88"/>
  <c r="K88" s="1"/>
  <c r="E625"/>
  <c r="K625" s="1"/>
  <c r="K640"/>
  <c r="K563"/>
  <c r="K557"/>
  <c r="K552"/>
  <c r="K543"/>
  <c r="K538"/>
  <c r="K525"/>
  <c r="K512"/>
  <c r="K569"/>
  <c r="K533"/>
  <c r="K520"/>
  <c r="K515"/>
  <c r="K477"/>
  <c r="K472"/>
  <c r="K468"/>
  <c r="K460"/>
  <c r="K456"/>
  <c r="K445"/>
  <c r="K441"/>
  <c r="K439"/>
  <c r="K437"/>
  <c r="C412"/>
  <c r="E382"/>
  <c r="K382" s="1"/>
  <c r="K381"/>
  <c r="K344"/>
  <c r="E331"/>
  <c r="K331" s="1"/>
  <c r="E327"/>
  <c r="K327" s="1"/>
  <c r="K340"/>
  <c r="E318"/>
  <c r="K318" s="1"/>
  <c r="E316"/>
  <c r="K316" s="1"/>
  <c r="E314"/>
  <c r="K314" s="1"/>
  <c r="K304"/>
  <c r="K300"/>
  <c r="E529"/>
  <c r="E526"/>
  <c r="E513"/>
  <c r="E542"/>
  <c r="E539"/>
  <c r="E535"/>
  <c r="E531"/>
  <c r="E524"/>
  <c r="E522"/>
  <c r="E521"/>
  <c r="E519"/>
  <c r="E517"/>
  <c r="E514"/>
  <c r="E511"/>
  <c r="E508"/>
  <c r="E507"/>
  <c r="K77"/>
  <c r="O77"/>
  <c r="O63"/>
  <c r="K63"/>
  <c r="K18"/>
  <c r="O18"/>
  <c r="E136"/>
  <c r="K135"/>
  <c r="E134"/>
  <c r="E120" s="1"/>
  <c r="E121"/>
  <c r="K121" s="1"/>
  <c r="E61"/>
  <c r="K61" s="1"/>
  <c r="E59"/>
  <c r="K59" s="1"/>
  <c r="O19"/>
  <c r="K19"/>
  <c r="E345"/>
  <c r="K343"/>
  <c r="E330"/>
  <c r="K330" s="1"/>
  <c r="K301"/>
  <c r="E287"/>
  <c r="K287" s="1"/>
  <c r="K218"/>
  <c r="E204"/>
  <c r="K197"/>
  <c r="I197"/>
  <c r="K25" i="3"/>
  <c r="K704" i="1"/>
  <c r="K660"/>
  <c r="E667"/>
  <c r="K667" s="1"/>
  <c r="O838"/>
  <c r="O842" s="1"/>
  <c r="K588"/>
  <c r="E671"/>
  <c r="K671" s="1"/>
  <c r="I432"/>
  <c r="E317"/>
  <c r="E313"/>
  <c r="K313" s="1"/>
  <c r="K275"/>
  <c r="K791"/>
  <c r="E642"/>
  <c r="K373"/>
  <c r="E234"/>
  <c r="K234" s="1"/>
  <c r="E230"/>
  <c r="K230" s="1"/>
  <c r="E54"/>
  <c r="O54" s="1"/>
  <c r="E176"/>
  <c r="I412"/>
  <c r="I334"/>
  <c r="E161"/>
  <c r="K161" s="1"/>
  <c r="E78"/>
  <c r="O62"/>
  <c r="E60"/>
  <c r="K60" s="1"/>
  <c r="E57"/>
  <c r="O40"/>
  <c r="E33"/>
  <c r="O33" s="1"/>
  <c r="E12"/>
  <c r="O12" s="1"/>
  <c r="C293"/>
  <c r="C209"/>
  <c r="E111"/>
  <c r="E66"/>
  <c r="E23"/>
  <c r="E14"/>
  <c r="E67"/>
  <c r="O41"/>
  <c r="A23" i="2" l="1"/>
  <c r="A24" s="1"/>
  <c r="E286" i="1"/>
  <c r="K286" s="1"/>
  <c r="K360"/>
  <c r="K728"/>
  <c r="K730"/>
  <c r="M33" i="2"/>
  <c r="V684" i="1"/>
  <c r="O57"/>
  <c r="K57"/>
  <c r="K73" s="1"/>
  <c r="E108"/>
  <c r="K20" i="2"/>
  <c r="O78" i="1"/>
  <c r="K78"/>
  <c r="K418"/>
  <c r="E426"/>
  <c r="K426" s="1"/>
  <c r="E419"/>
  <c r="K419" s="1"/>
  <c r="I29" i="2"/>
  <c r="I30" s="1"/>
  <c r="K642" i="1"/>
  <c r="K279"/>
  <c r="K281"/>
  <c r="K317"/>
  <c r="E319"/>
  <c r="K319" s="1"/>
  <c r="O48" i="2"/>
  <c r="K204" i="1"/>
  <c r="K345"/>
  <c r="E332"/>
  <c r="K332" s="1"/>
  <c r="K136"/>
  <c r="K139" s="1"/>
  <c r="K508"/>
  <c r="K514"/>
  <c r="K519"/>
  <c r="K522"/>
  <c r="K531"/>
  <c r="K539"/>
  <c r="K513"/>
  <c r="K529"/>
  <c r="K638"/>
  <c r="E623"/>
  <c r="K623" s="1"/>
  <c r="V45"/>
  <c r="E34"/>
  <c r="O34" s="1"/>
  <c r="K32"/>
  <c r="V44"/>
  <c r="O32"/>
  <c r="K51" i="2"/>
  <c r="I39"/>
  <c r="I40" s="1"/>
  <c r="I53" s="1"/>
  <c r="I154" i="1"/>
  <c r="I661"/>
  <c r="M46" i="2"/>
  <c r="V596" i="1"/>
  <c r="M593" s="1"/>
  <c r="K305"/>
  <c r="E291"/>
  <c r="K291" s="1"/>
  <c r="K307"/>
  <c r="K17"/>
  <c r="V70"/>
  <c r="O53"/>
  <c r="E55"/>
  <c r="O55" s="1"/>
  <c r="K53"/>
  <c r="K71" s="1"/>
  <c r="K163"/>
  <c r="E164"/>
  <c r="K164" s="1"/>
  <c r="K560"/>
  <c r="K566"/>
  <c r="E501"/>
  <c r="E499"/>
  <c r="E497"/>
  <c r="E491"/>
  <c r="E495"/>
  <c r="E500"/>
  <c r="E493"/>
  <c r="E498"/>
  <c r="E492"/>
  <c r="E494"/>
  <c r="K564"/>
  <c r="K231"/>
  <c r="E203"/>
  <c r="K203" s="1"/>
  <c r="M49" i="2"/>
  <c r="Y49" s="1"/>
  <c r="O35"/>
  <c r="K140" i="1"/>
  <c r="K141" s="1"/>
  <c r="I168"/>
  <c r="K224"/>
  <c r="K225" s="1"/>
  <c r="I238"/>
  <c r="E46"/>
  <c r="V46" s="1"/>
  <c r="K35"/>
  <c r="K50" s="1"/>
  <c r="K84"/>
  <c r="E290"/>
  <c r="K290" s="1"/>
  <c r="K82"/>
  <c r="E117"/>
  <c r="K117" s="1"/>
  <c r="E626"/>
  <c r="K626" s="1"/>
  <c r="O12" i="2"/>
  <c r="E289" i="1"/>
  <c r="K289" s="1"/>
  <c r="C854"/>
  <c r="C856" s="1"/>
  <c r="I430"/>
  <c r="K223"/>
  <c r="M22" i="2"/>
  <c r="E605" i="1"/>
  <c r="K605" s="1"/>
  <c r="K607" s="1"/>
  <c r="E25"/>
  <c r="K14"/>
  <c r="V25"/>
  <c r="M34" i="2"/>
  <c r="Y34" s="1"/>
  <c r="M45"/>
  <c r="V586" i="1"/>
  <c r="V24"/>
  <c r="K11"/>
  <c r="E13"/>
  <c r="O13" s="1"/>
  <c r="O11"/>
  <c r="O84"/>
  <c r="O82"/>
  <c r="K507"/>
  <c r="K511"/>
  <c r="K517"/>
  <c r="K521"/>
  <c r="K524"/>
  <c r="K535"/>
  <c r="K542"/>
  <c r="K526"/>
  <c r="K347"/>
  <c r="K636"/>
  <c r="E621"/>
  <c r="K621" s="1"/>
  <c r="I348"/>
  <c r="K232"/>
  <c r="E235"/>
  <c r="O34" i="2"/>
  <c r="K384" i="1"/>
  <c r="K669"/>
  <c r="E672"/>
  <c r="K672" s="1"/>
  <c r="M48" i="2"/>
  <c r="Y48" s="1"/>
  <c r="I646" i="1"/>
  <c r="O49" i="2"/>
  <c r="K328" i="1"/>
  <c r="K334" s="1"/>
  <c r="V806"/>
  <c r="K550"/>
  <c r="K562"/>
  <c r="K568"/>
  <c r="K558"/>
  <c r="K229"/>
  <c r="E201"/>
  <c r="K233"/>
  <c r="E205"/>
  <c r="K205" s="1"/>
  <c r="K668"/>
  <c r="M35" i="2"/>
  <c r="Y35" s="1"/>
  <c r="K385" i="1"/>
  <c r="K386" s="1"/>
  <c r="I855"/>
  <c r="I386"/>
  <c r="K98"/>
  <c r="I99"/>
  <c r="I112"/>
  <c r="E612"/>
  <c r="K612" s="1"/>
  <c r="E611"/>
  <c r="K611" s="1"/>
  <c r="E610"/>
  <c r="K610" s="1"/>
  <c r="K614" s="1"/>
  <c r="K615" s="1"/>
  <c r="K308"/>
  <c r="K309" s="1"/>
  <c r="I322"/>
  <c r="K99"/>
  <c r="K97"/>
  <c r="E119"/>
  <c r="K119" s="1"/>
  <c r="E206"/>
  <c r="E202"/>
  <c r="K202" s="1"/>
  <c r="E285"/>
  <c r="K285" s="1"/>
  <c r="E69"/>
  <c r="E65" s="1"/>
  <c r="E118"/>
  <c r="K118" s="1"/>
  <c r="E288"/>
  <c r="K288" s="1"/>
  <c r="K480"/>
  <c r="E622"/>
  <c r="K622" s="1"/>
  <c r="E42"/>
  <c r="I361"/>
  <c r="I574"/>
  <c r="I52" i="2"/>
  <c r="A25" l="1"/>
  <c r="A26"/>
  <c r="V26" i="1"/>
  <c r="K570"/>
  <c r="K572" s="1"/>
  <c r="E21"/>
  <c r="K27"/>
  <c r="K29"/>
  <c r="K293"/>
  <c r="K295"/>
  <c r="K206"/>
  <c r="K322"/>
  <c r="K323" s="1"/>
  <c r="I323"/>
  <c r="M31" i="2"/>
  <c r="V613" i="1"/>
  <c r="M602" s="1"/>
  <c r="K395"/>
  <c r="I396"/>
  <c r="K201"/>
  <c r="V210"/>
  <c r="U49" i="2"/>
  <c r="Q49"/>
  <c r="S49" s="1"/>
  <c r="AA49" s="1"/>
  <c r="K235" i="1"/>
  <c r="E207"/>
  <c r="K207" s="1"/>
  <c r="I374"/>
  <c r="I349"/>
  <c r="V21"/>
  <c r="V20"/>
  <c r="M585"/>
  <c r="M583"/>
  <c r="M582"/>
  <c r="U13" i="2"/>
  <c r="Q13"/>
  <c r="A27"/>
  <c r="K238" i="1"/>
  <c r="I239"/>
  <c r="K168"/>
  <c r="K169" s="1"/>
  <c r="I169"/>
  <c r="U35" i="2"/>
  <c r="Q35"/>
  <c r="S35" s="1"/>
  <c r="AA35" s="1"/>
  <c r="K494" i="1"/>
  <c r="K498"/>
  <c r="K500"/>
  <c r="K491"/>
  <c r="K499"/>
  <c r="M16" i="2"/>
  <c r="K661" i="1"/>
  <c r="I662"/>
  <c r="K154"/>
  <c r="I155"/>
  <c r="K23" i="2"/>
  <c r="K108" i="1"/>
  <c r="E106"/>
  <c r="K28" i="2"/>
  <c r="E406" i="1"/>
  <c r="E402"/>
  <c r="K402" s="1"/>
  <c r="E410"/>
  <c r="E409" s="1"/>
  <c r="K409" s="1"/>
  <c r="K410" s="1"/>
  <c r="E403"/>
  <c r="K403" s="1"/>
  <c r="K544"/>
  <c r="K546" s="1"/>
  <c r="K675"/>
  <c r="E122"/>
  <c r="K122" s="1"/>
  <c r="E627"/>
  <c r="K627" s="1"/>
  <c r="K630" s="1"/>
  <c r="K321"/>
  <c r="K167"/>
  <c r="I577"/>
  <c r="I579"/>
  <c r="I362"/>
  <c r="K484"/>
  <c r="K486"/>
  <c r="K112"/>
  <c r="I113"/>
  <c r="K237"/>
  <c r="K239"/>
  <c r="V330"/>
  <c r="K646"/>
  <c r="I676"/>
  <c r="I647"/>
  <c r="M26" i="2"/>
  <c r="W379" i="1"/>
  <c r="U34" i="2"/>
  <c r="Q34"/>
  <c r="S34" s="1"/>
  <c r="AA34" s="1"/>
  <c r="K645" i="1"/>
  <c r="K647"/>
  <c r="K127"/>
  <c r="K125"/>
  <c r="K492"/>
  <c r="K493"/>
  <c r="K495"/>
  <c r="K497"/>
  <c r="K501"/>
  <c r="X593"/>
  <c r="O593"/>
  <c r="U48" i="2"/>
  <c r="Q48"/>
  <c r="M42"/>
  <c r="V275" i="1"/>
  <c r="V277"/>
  <c r="K617"/>
  <c r="I854"/>
  <c r="K48"/>
  <c r="V207"/>
  <c r="Q12" i="2"/>
  <c r="M32" l="1"/>
  <c r="V624" i="1"/>
  <c r="M620" s="1"/>
  <c r="I856"/>
  <c r="S48" i="2"/>
  <c r="AA48" s="1"/>
  <c r="K676" i="1"/>
  <c r="K677" s="1"/>
  <c r="I677"/>
  <c r="K29" i="2"/>
  <c r="E424" i="1"/>
  <c r="E420"/>
  <c r="K420" s="1"/>
  <c r="E421"/>
  <c r="K421" s="1"/>
  <c r="E854"/>
  <c r="E856" s="1"/>
  <c r="E404"/>
  <c r="K404" s="1"/>
  <c r="E405"/>
  <c r="K405" s="1"/>
  <c r="K155"/>
  <c r="K662"/>
  <c r="A28" i="2"/>
  <c r="M584" i="1"/>
  <c r="X582"/>
  <c r="O582"/>
  <c r="X585"/>
  <c r="O585"/>
  <c r="M15"/>
  <c r="M16"/>
  <c r="M14"/>
  <c r="K396"/>
  <c r="K502"/>
  <c r="M15" i="2"/>
  <c r="M18" s="1"/>
  <c r="K632" i="1"/>
  <c r="V208"/>
  <c r="S13" i="2"/>
  <c r="S12"/>
  <c r="M274" i="1"/>
  <c r="M272"/>
  <c r="M270"/>
  <c r="M268"/>
  <c r="M265"/>
  <c r="M263"/>
  <c r="M261"/>
  <c r="M258"/>
  <c r="M256"/>
  <c r="M254"/>
  <c r="M252"/>
  <c r="M250"/>
  <c r="M248"/>
  <c r="M245"/>
  <c r="M243"/>
  <c r="M273"/>
  <c r="M271"/>
  <c r="M269"/>
  <c r="M267"/>
  <c r="M264"/>
  <c r="M262"/>
  <c r="M260"/>
  <c r="M257"/>
  <c r="M255"/>
  <c r="M253"/>
  <c r="M251"/>
  <c r="M249"/>
  <c r="M246"/>
  <c r="M244"/>
  <c r="M594"/>
  <c r="V331"/>
  <c r="M326"/>
  <c r="M43" i="2"/>
  <c r="V439" i="1"/>
  <c r="K414"/>
  <c r="K406"/>
  <c r="K113"/>
  <c r="K111"/>
  <c r="X583"/>
  <c r="O583"/>
  <c r="I375"/>
  <c r="K211"/>
  <c r="K209"/>
  <c r="M609"/>
  <c r="X602"/>
  <c r="O602"/>
  <c r="M24" i="2"/>
  <c r="V289" i="1"/>
  <c r="M284" s="1"/>
  <c r="K412"/>
  <c r="K30" i="2"/>
  <c r="K39"/>
  <c r="U12"/>
  <c r="V19" i="1"/>
  <c r="W12" i="2" l="1"/>
  <c r="Y13" s="1"/>
  <c r="Y12"/>
  <c r="M298" i="1"/>
  <c r="X284"/>
  <c r="V291"/>
  <c r="O284"/>
  <c r="M21" i="2"/>
  <c r="W201" i="1"/>
  <c r="M477"/>
  <c r="M474"/>
  <c r="M472"/>
  <c r="M470"/>
  <c r="M468"/>
  <c r="M465"/>
  <c r="M462"/>
  <c r="M461"/>
  <c r="M460"/>
  <c r="M458"/>
  <c r="M456"/>
  <c r="M453"/>
  <c r="M448"/>
  <c r="M447"/>
  <c r="M445"/>
  <c r="M443"/>
  <c r="M441"/>
  <c r="M440"/>
  <c r="M439"/>
  <c r="M438"/>
  <c r="M437"/>
  <c r="M436"/>
  <c r="M479"/>
  <c r="M475"/>
  <c r="M473"/>
  <c r="M471"/>
  <c r="M467"/>
  <c r="M466"/>
  <c r="M464"/>
  <c r="M459"/>
  <c r="M457"/>
  <c r="M455"/>
  <c r="M454"/>
  <c r="M452"/>
  <c r="M450"/>
  <c r="M449"/>
  <c r="M446"/>
  <c r="M444"/>
  <c r="M442"/>
  <c r="M381"/>
  <c r="M332"/>
  <c r="M331"/>
  <c r="M328"/>
  <c r="M382"/>
  <c r="M330"/>
  <c r="M329"/>
  <c r="M327"/>
  <c r="X594"/>
  <c r="O594"/>
  <c r="O244"/>
  <c r="X244"/>
  <c r="O249"/>
  <c r="X249"/>
  <c r="O253"/>
  <c r="X253"/>
  <c r="O257"/>
  <c r="X257"/>
  <c r="O262"/>
  <c r="X262"/>
  <c r="O267"/>
  <c r="X267"/>
  <c r="O271"/>
  <c r="X271"/>
  <c r="X243"/>
  <c r="O243"/>
  <c r="X248"/>
  <c r="O248"/>
  <c r="X252"/>
  <c r="O252"/>
  <c r="X256"/>
  <c r="O256"/>
  <c r="X261"/>
  <c r="O261"/>
  <c r="X265"/>
  <c r="O265"/>
  <c r="X270"/>
  <c r="O270"/>
  <c r="X274"/>
  <c r="O274"/>
  <c r="K574"/>
  <c r="K504"/>
  <c r="M60"/>
  <c r="O16"/>
  <c r="M37"/>
  <c r="X16"/>
  <c r="X584"/>
  <c r="O584"/>
  <c r="M586" s="1"/>
  <c r="E422"/>
  <c r="K422" s="1"/>
  <c r="M20" i="2"/>
  <c r="A29"/>
  <c r="K40"/>
  <c r="K53" s="1"/>
  <c r="K52"/>
  <c r="M28"/>
  <c r="X609" i="1"/>
  <c r="O609"/>
  <c r="V123"/>
  <c r="M116" s="1"/>
  <c r="M816"/>
  <c r="V332"/>
  <c r="X326"/>
  <c r="M378"/>
  <c r="M365"/>
  <c r="M352"/>
  <c r="M339"/>
  <c r="O326"/>
  <c r="O246"/>
  <c r="X246"/>
  <c r="O251"/>
  <c r="X251"/>
  <c r="O255"/>
  <c r="X255"/>
  <c r="O260"/>
  <c r="X260"/>
  <c r="O264"/>
  <c r="X264"/>
  <c r="O269"/>
  <c r="X269"/>
  <c r="O273"/>
  <c r="X273"/>
  <c r="X245"/>
  <c r="O245"/>
  <c r="X250"/>
  <c r="O250"/>
  <c r="X254"/>
  <c r="O254"/>
  <c r="X258"/>
  <c r="O258"/>
  <c r="X263"/>
  <c r="O263"/>
  <c r="X268"/>
  <c r="O268"/>
  <c r="X272"/>
  <c r="O272"/>
  <c r="M58"/>
  <c r="O14"/>
  <c r="M35"/>
  <c r="X14"/>
  <c r="M36"/>
  <c r="X15"/>
  <c r="M59"/>
  <c r="O15"/>
  <c r="M650"/>
  <c r="O620"/>
  <c r="M665"/>
  <c r="M635"/>
  <c r="M628"/>
  <c r="V626"/>
  <c r="X620"/>
  <c r="M87"/>
  <c r="O87" s="1"/>
  <c r="E428"/>
  <c r="E427" s="1"/>
  <c r="K427" s="1"/>
  <c r="K428" s="1"/>
  <c r="X586" l="1"/>
  <c r="O586"/>
  <c r="O635"/>
  <c r="X635"/>
  <c r="O59"/>
  <c r="X59"/>
  <c r="X36"/>
  <c r="O36"/>
  <c r="O352"/>
  <c r="X352"/>
  <c r="X378"/>
  <c r="O378"/>
  <c r="M389"/>
  <c r="M186"/>
  <c r="M158"/>
  <c r="M130"/>
  <c r="X116"/>
  <c r="M200"/>
  <c r="M172"/>
  <c r="M144"/>
  <c r="V124"/>
  <c r="M123"/>
  <c r="O116"/>
  <c r="M102"/>
  <c r="M23" i="2"/>
  <c r="O37" i="1"/>
  <c r="X37"/>
  <c r="X60"/>
  <c r="O60"/>
  <c r="O275"/>
  <c r="O598"/>
  <c r="W596"/>
  <c r="Q594" s="1"/>
  <c r="S594" s="1"/>
  <c r="S596" s="1"/>
  <c r="O596"/>
  <c r="M817"/>
  <c r="M775"/>
  <c r="M722"/>
  <c r="M380"/>
  <c r="M366"/>
  <c r="M353"/>
  <c r="M340"/>
  <c r="O327"/>
  <c r="X327"/>
  <c r="M820"/>
  <c r="M809"/>
  <c r="M778"/>
  <c r="M725"/>
  <c r="O330"/>
  <c r="M369"/>
  <c r="M356"/>
  <c r="M343"/>
  <c r="X330"/>
  <c r="M818"/>
  <c r="M806"/>
  <c r="M776"/>
  <c r="M723"/>
  <c r="X328"/>
  <c r="M367"/>
  <c r="M354"/>
  <c r="M341"/>
  <c r="O328"/>
  <c r="M822"/>
  <c r="M811"/>
  <c r="M780"/>
  <c r="M727"/>
  <c r="X332"/>
  <c r="M371"/>
  <c r="M358"/>
  <c r="M345"/>
  <c r="O332"/>
  <c r="X442"/>
  <c r="O442"/>
  <c r="X446"/>
  <c r="O446"/>
  <c r="X450"/>
  <c r="O450"/>
  <c r="X454"/>
  <c r="O454"/>
  <c r="X457"/>
  <c r="O457"/>
  <c r="X464"/>
  <c r="O464"/>
  <c r="X467"/>
  <c r="O467"/>
  <c r="X473"/>
  <c r="O473"/>
  <c r="X479"/>
  <c r="O479"/>
  <c r="X437"/>
  <c r="O437"/>
  <c r="X439"/>
  <c r="O439"/>
  <c r="X441"/>
  <c r="O441"/>
  <c r="X445"/>
  <c r="O445"/>
  <c r="X448"/>
  <c r="O448"/>
  <c r="X456"/>
  <c r="O456"/>
  <c r="X460"/>
  <c r="O460"/>
  <c r="X462"/>
  <c r="O462"/>
  <c r="X468"/>
  <c r="O468"/>
  <c r="X472"/>
  <c r="O472"/>
  <c r="X477"/>
  <c r="O477"/>
  <c r="V290"/>
  <c r="A30" i="2"/>
  <c r="A31" s="1"/>
  <c r="A32" s="1"/>
  <c r="A33" s="1"/>
  <c r="A34" s="1"/>
  <c r="A35" s="1"/>
  <c r="A36" s="1"/>
  <c r="A37" s="1"/>
  <c r="A38" s="1"/>
  <c r="A39" s="1"/>
  <c r="A40" s="1"/>
  <c r="A42" s="1"/>
  <c r="A43" s="1"/>
  <c r="A44" s="1"/>
  <c r="A45" s="1"/>
  <c r="A46" s="1"/>
  <c r="A47" s="1"/>
  <c r="A48" s="1"/>
  <c r="A49" s="1"/>
  <c r="A50" s="1"/>
  <c r="A51" s="1"/>
  <c r="A52" s="1"/>
  <c r="A53" s="1"/>
  <c r="M673" i="1"/>
  <c r="M643"/>
  <c r="X628"/>
  <c r="O628"/>
  <c r="M658"/>
  <c r="M95"/>
  <c r="O95" s="1"/>
  <c r="O665"/>
  <c r="X665"/>
  <c r="X650"/>
  <c r="O650"/>
  <c r="O35"/>
  <c r="X35"/>
  <c r="X58"/>
  <c r="O58"/>
  <c r="O339"/>
  <c r="X339"/>
  <c r="O365"/>
  <c r="X365"/>
  <c r="X816"/>
  <c r="O816"/>
  <c r="K577"/>
  <c r="K579"/>
  <c r="M819"/>
  <c r="M807"/>
  <c r="M777"/>
  <c r="M724"/>
  <c r="M368"/>
  <c r="M355"/>
  <c r="M342"/>
  <c r="X329"/>
  <c r="O329"/>
  <c r="M392"/>
  <c r="X382"/>
  <c r="O382"/>
  <c r="M821"/>
  <c r="M810"/>
  <c r="M779"/>
  <c r="M726"/>
  <c r="M370"/>
  <c r="M357"/>
  <c r="M344"/>
  <c r="X331"/>
  <c r="O331"/>
  <c r="X381"/>
  <c r="M391"/>
  <c r="O381"/>
  <c r="X444"/>
  <c r="O444"/>
  <c r="X449"/>
  <c r="O449"/>
  <c r="X452"/>
  <c r="O452"/>
  <c r="X455"/>
  <c r="O455"/>
  <c r="X459"/>
  <c r="O459"/>
  <c r="X466"/>
  <c r="O466"/>
  <c r="X471"/>
  <c r="O471"/>
  <c r="X475"/>
  <c r="O475"/>
  <c r="X436"/>
  <c r="O436"/>
  <c r="X438"/>
  <c r="O438"/>
  <c r="X440"/>
  <c r="O440"/>
  <c r="X443"/>
  <c r="O443"/>
  <c r="X447"/>
  <c r="O447"/>
  <c r="X453"/>
  <c r="O453"/>
  <c r="X458"/>
  <c r="O458"/>
  <c r="X461"/>
  <c r="O461"/>
  <c r="X465"/>
  <c r="O465"/>
  <c r="X470"/>
  <c r="O470"/>
  <c r="X474"/>
  <c r="O474"/>
  <c r="W120"/>
  <c r="X298"/>
  <c r="M312"/>
  <c r="O298"/>
  <c r="AA13" i="2"/>
  <c r="AA12"/>
  <c r="V614" i="1"/>
  <c r="E423"/>
  <c r="K423" s="1"/>
  <c r="O334" l="1"/>
  <c r="V625"/>
  <c r="M624" s="1"/>
  <c r="O25" i="2"/>
  <c r="W46"/>
  <c r="Y46" s="1"/>
  <c r="W592" i="1"/>
  <c r="W594" s="1"/>
  <c r="K424"/>
  <c r="K430" s="1"/>
  <c r="K432"/>
  <c r="M611"/>
  <c r="M604"/>
  <c r="M605"/>
  <c r="M603"/>
  <c r="O726"/>
  <c r="X726"/>
  <c r="O312"/>
  <c r="X312"/>
  <c r="O391"/>
  <c r="X391"/>
  <c r="X344"/>
  <c r="O344"/>
  <c r="X370"/>
  <c r="O370"/>
  <c r="X779"/>
  <c r="O779"/>
  <c r="X821"/>
  <c r="O821"/>
  <c r="X392"/>
  <c r="O392"/>
  <c r="X355"/>
  <c r="O355"/>
  <c r="O724"/>
  <c r="X724"/>
  <c r="X807"/>
  <c r="O807"/>
  <c r="M44" i="2"/>
  <c r="M47" s="1"/>
  <c r="V495" i="1"/>
  <c r="X643"/>
  <c r="O643"/>
  <c r="X345"/>
  <c r="O345"/>
  <c r="X371"/>
  <c r="O371"/>
  <c r="O727"/>
  <c r="X727"/>
  <c r="X811"/>
  <c r="O811"/>
  <c r="O341"/>
  <c r="X341"/>
  <c r="O367"/>
  <c r="X367"/>
  <c r="O723"/>
  <c r="X723"/>
  <c r="X806"/>
  <c r="O806"/>
  <c r="O343"/>
  <c r="X343"/>
  <c r="O369"/>
  <c r="X369"/>
  <c r="O725"/>
  <c r="X725"/>
  <c r="X809"/>
  <c r="O809"/>
  <c r="X353"/>
  <c r="O353"/>
  <c r="M390"/>
  <c r="X380"/>
  <c r="O380"/>
  <c r="O386" s="1"/>
  <c r="X775"/>
  <c r="O775"/>
  <c r="O279"/>
  <c r="O281"/>
  <c r="X102"/>
  <c r="O102"/>
  <c r="M179"/>
  <c r="O123"/>
  <c r="M193"/>
  <c r="M137"/>
  <c r="X123"/>
  <c r="M109"/>
  <c r="O144"/>
  <c r="X144"/>
  <c r="M214"/>
  <c r="X200"/>
  <c r="O200"/>
  <c r="M228"/>
  <c r="X130"/>
  <c r="O130"/>
  <c r="X186"/>
  <c r="O186"/>
  <c r="O389"/>
  <c r="X389"/>
  <c r="O336"/>
  <c r="O480"/>
  <c r="W382"/>
  <c r="X357"/>
  <c r="O357"/>
  <c r="X810"/>
  <c r="O810"/>
  <c r="X342"/>
  <c r="O342"/>
  <c r="X368"/>
  <c r="O368"/>
  <c r="X777"/>
  <c r="O777"/>
  <c r="X819"/>
  <c r="O819"/>
  <c r="O658"/>
  <c r="X658"/>
  <c r="X673"/>
  <c r="O673"/>
  <c r="M289"/>
  <c r="M288"/>
  <c r="M286"/>
  <c r="M290"/>
  <c r="M287"/>
  <c r="M285"/>
  <c r="X358"/>
  <c r="O358"/>
  <c r="O780"/>
  <c r="X780"/>
  <c r="X822"/>
  <c r="O822"/>
  <c r="O354"/>
  <c r="X354"/>
  <c r="O776"/>
  <c r="X776"/>
  <c r="X818"/>
  <c r="O818"/>
  <c r="O356"/>
  <c r="X356"/>
  <c r="O778"/>
  <c r="X778"/>
  <c r="X820"/>
  <c r="O820"/>
  <c r="X340"/>
  <c r="O340"/>
  <c r="O349" s="1"/>
  <c r="X366"/>
  <c r="O366"/>
  <c r="O375" s="1"/>
  <c r="O722"/>
  <c r="X722"/>
  <c r="X817"/>
  <c r="O817"/>
  <c r="O823" s="1"/>
  <c r="O46" i="2"/>
  <c r="V592" i="1"/>
  <c r="V597"/>
  <c r="O172"/>
  <c r="X172"/>
  <c r="X158"/>
  <c r="O158"/>
  <c r="O590"/>
  <c r="W586"/>
  <c r="Q586" s="1"/>
  <c r="S586" s="1"/>
  <c r="S588" s="1"/>
  <c r="O588"/>
  <c r="O384"/>
  <c r="M17"/>
  <c r="O347" l="1"/>
  <c r="O373"/>
  <c r="M622"/>
  <c r="M626"/>
  <c r="M625"/>
  <c r="M621"/>
  <c r="M623"/>
  <c r="W582"/>
  <c r="W584" s="1"/>
  <c r="W45" i="2"/>
  <c r="Y45" s="1"/>
  <c r="O37"/>
  <c r="V823" i="1"/>
  <c r="V385"/>
  <c r="V384"/>
  <c r="V371"/>
  <c r="O45" i="2"/>
  <c r="V587" i="1"/>
  <c r="V582"/>
  <c r="V595"/>
  <c r="V594"/>
  <c r="M768"/>
  <c r="M716"/>
  <c r="O287"/>
  <c r="M301"/>
  <c r="X287"/>
  <c r="M715"/>
  <c r="M767"/>
  <c r="M300"/>
  <c r="X286"/>
  <c r="O286"/>
  <c r="M771"/>
  <c r="M718"/>
  <c r="X289"/>
  <c r="M303"/>
  <c r="O289"/>
  <c r="Q381"/>
  <c r="Q382"/>
  <c r="O228"/>
  <c r="X228"/>
  <c r="O109"/>
  <c r="X109"/>
  <c r="M151"/>
  <c r="O137"/>
  <c r="M165"/>
  <c r="X137"/>
  <c r="O42" i="2"/>
  <c r="V276" i="1"/>
  <c r="V271"/>
  <c r="M568"/>
  <c r="M566"/>
  <c r="M562"/>
  <c r="M560"/>
  <c r="M559"/>
  <c r="M556"/>
  <c r="M553"/>
  <c r="M550"/>
  <c r="M542"/>
  <c r="M539"/>
  <c r="M537"/>
  <c r="M535"/>
  <c r="M534"/>
  <c r="M531"/>
  <c r="M530"/>
  <c r="M527"/>
  <c r="M524"/>
  <c r="M522"/>
  <c r="M521"/>
  <c r="M519"/>
  <c r="M517"/>
  <c r="M514"/>
  <c r="M511"/>
  <c r="M508"/>
  <c r="M507"/>
  <c r="M501"/>
  <c r="M499"/>
  <c r="M497"/>
  <c r="M569"/>
  <c r="M567"/>
  <c r="M564"/>
  <c r="M563"/>
  <c r="M561"/>
  <c r="M558"/>
  <c r="M557"/>
  <c r="M554"/>
  <c r="M552"/>
  <c r="M549"/>
  <c r="M543"/>
  <c r="M540"/>
  <c r="M538"/>
  <c r="M536"/>
  <c r="M533"/>
  <c r="M529"/>
  <c r="M528"/>
  <c r="M526"/>
  <c r="M525"/>
  <c r="M523"/>
  <c r="M520"/>
  <c r="M518"/>
  <c r="M515"/>
  <c r="M513"/>
  <c r="M512"/>
  <c r="M509"/>
  <c r="M500"/>
  <c r="M498"/>
  <c r="M495"/>
  <c r="M494"/>
  <c r="M492"/>
  <c r="M491"/>
  <c r="M493"/>
  <c r="O603"/>
  <c r="M610"/>
  <c r="X603"/>
  <c r="X604"/>
  <c r="O604"/>
  <c r="M670"/>
  <c r="M640"/>
  <c r="X625"/>
  <c r="O625"/>
  <c r="M655"/>
  <c r="M92"/>
  <c r="O92" s="1"/>
  <c r="M666"/>
  <c r="M636"/>
  <c r="X621"/>
  <c r="M651"/>
  <c r="O621"/>
  <c r="M88"/>
  <c r="O88" s="1"/>
  <c r="M654"/>
  <c r="X624"/>
  <c r="M669"/>
  <c r="M639"/>
  <c r="O624"/>
  <c r="M91"/>
  <c r="O91" s="1"/>
  <c r="O362"/>
  <c r="M38"/>
  <c r="X17"/>
  <c r="M61"/>
  <c r="O17"/>
  <c r="V345"/>
  <c r="U46" i="2"/>
  <c r="Q46"/>
  <c r="S46" s="1"/>
  <c r="AA46" s="1"/>
  <c r="M769" i="1"/>
  <c r="M714"/>
  <c r="O285"/>
  <c r="M299"/>
  <c r="X285"/>
  <c r="M772"/>
  <c r="M719"/>
  <c r="M304"/>
  <c r="X290"/>
  <c r="O290"/>
  <c r="M770"/>
  <c r="M717"/>
  <c r="M302"/>
  <c r="X288"/>
  <c r="O288"/>
  <c r="O484"/>
  <c r="O486"/>
  <c r="X214"/>
  <c r="O214"/>
  <c r="X193"/>
  <c r="O193"/>
  <c r="X179"/>
  <c r="O179"/>
  <c r="X390"/>
  <c r="O390"/>
  <c r="O396" s="1"/>
  <c r="M51" i="2"/>
  <c r="O605" i="1"/>
  <c r="X605"/>
  <c r="X611"/>
  <c r="O611"/>
  <c r="M29" i="2"/>
  <c r="V408" i="1"/>
  <c r="K854"/>
  <c r="U25" i="2"/>
  <c r="M652" i="1"/>
  <c r="O622"/>
  <c r="M667"/>
  <c r="M637"/>
  <c r="X622"/>
  <c r="M89"/>
  <c r="O89" s="1"/>
  <c r="M656"/>
  <c r="O626"/>
  <c r="M671"/>
  <c r="M641"/>
  <c r="X626"/>
  <c r="M93"/>
  <c r="O93" s="1"/>
  <c r="M668"/>
  <c r="M638"/>
  <c r="M653"/>
  <c r="X623"/>
  <c r="O623"/>
  <c r="M90"/>
  <c r="O90" s="1"/>
  <c r="O360"/>
  <c r="V125" l="1"/>
  <c r="M205" s="1"/>
  <c r="V358"/>
  <c r="X638"/>
  <c r="O638"/>
  <c r="X656"/>
  <c r="O656"/>
  <c r="O653"/>
  <c r="X653"/>
  <c r="X668"/>
  <c r="O668"/>
  <c r="S668" s="1"/>
  <c r="O641"/>
  <c r="X641"/>
  <c r="O667"/>
  <c r="X667"/>
  <c r="X652"/>
  <c r="O652"/>
  <c r="M401"/>
  <c r="M399"/>
  <c r="M400"/>
  <c r="M30" i="2"/>
  <c r="O43"/>
  <c r="U484" i="1"/>
  <c r="V440"/>
  <c r="U485"/>
  <c r="V435"/>
  <c r="X717"/>
  <c r="O717"/>
  <c r="X719"/>
  <c r="O719"/>
  <c r="M313"/>
  <c r="O299"/>
  <c r="X299"/>
  <c r="O714"/>
  <c r="X714"/>
  <c r="O61"/>
  <c r="X61"/>
  <c r="X38"/>
  <c r="O38"/>
  <c r="O639"/>
  <c r="X639"/>
  <c r="M627"/>
  <c r="X666"/>
  <c r="O666"/>
  <c r="X640"/>
  <c r="O640"/>
  <c r="O607"/>
  <c r="X491"/>
  <c r="O491"/>
  <c r="X494"/>
  <c r="O494"/>
  <c r="X498"/>
  <c r="O498"/>
  <c r="X509"/>
  <c r="O509"/>
  <c r="X513"/>
  <c r="O513"/>
  <c r="X518"/>
  <c r="O518"/>
  <c r="X523"/>
  <c r="O523"/>
  <c r="X526"/>
  <c r="O526"/>
  <c r="X529"/>
  <c r="O529"/>
  <c r="X536"/>
  <c r="O536"/>
  <c r="X540"/>
  <c r="O540"/>
  <c r="X549"/>
  <c r="O549"/>
  <c r="X554"/>
  <c r="O554"/>
  <c r="X558"/>
  <c r="O558"/>
  <c r="X563"/>
  <c r="O563"/>
  <c r="X567"/>
  <c r="O567"/>
  <c r="X497"/>
  <c r="O497"/>
  <c r="X501"/>
  <c r="O501"/>
  <c r="X508"/>
  <c r="O508"/>
  <c r="X514"/>
  <c r="O514"/>
  <c r="X519"/>
  <c r="O519"/>
  <c r="X522"/>
  <c r="O522"/>
  <c r="X527"/>
  <c r="O527"/>
  <c r="X531"/>
  <c r="O531"/>
  <c r="X535"/>
  <c r="O535"/>
  <c r="X539"/>
  <c r="O539"/>
  <c r="X550"/>
  <c r="O550"/>
  <c r="X556"/>
  <c r="O556"/>
  <c r="X560"/>
  <c r="O560"/>
  <c r="X566"/>
  <c r="O566"/>
  <c r="V274"/>
  <c r="V273"/>
  <c r="U42" i="2"/>
  <c r="Q42"/>
  <c r="Q392" i="1"/>
  <c r="S392" s="1"/>
  <c r="S382"/>
  <c r="O771"/>
  <c r="X771"/>
  <c r="X300"/>
  <c r="M314"/>
  <c r="O300"/>
  <c r="X715"/>
  <c r="O715"/>
  <c r="X768"/>
  <c r="O768"/>
  <c r="V585"/>
  <c r="V584"/>
  <c r="U45" i="2"/>
  <c r="Q45"/>
  <c r="S45" s="1"/>
  <c r="AA45" s="1"/>
  <c r="O671" i="1"/>
  <c r="X671"/>
  <c r="O637"/>
  <c r="X637"/>
  <c r="X302"/>
  <c r="M316"/>
  <c r="O302"/>
  <c r="X770"/>
  <c r="O770"/>
  <c r="X304"/>
  <c r="M318"/>
  <c r="O304"/>
  <c r="X772"/>
  <c r="O772"/>
  <c r="M291"/>
  <c r="O769"/>
  <c r="X769"/>
  <c r="O29"/>
  <c r="W19"/>
  <c r="O27"/>
  <c r="O669"/>
  <c r="X669"/>
  <c r="X654"/>
  <c r="O654"/>
  <c r="O651"/>
  <c r="X651"/>
  <c r="X636"/>
  <c r="O636"/>
  <c r="O655"/>
  <c r="X655"/>
  <c r="X670"/>
  <c r="O670"/>
  <c r="O610"/>
  <c r="X610"/>
  <c r="X493"/>
  <c r="O493"/>
  <c r="X492"/>
  <c r="O492"/>
  <c r="X495"/>
  <c r="O495"/>
  <c r="X500"/>
  <c r="O500"/>
  <c r="X512"/>
  <c r="O512"/>
  <c r="X515"/>
  <c r="O515"/>
  <c r="X520"/>
  <c r="O520"/>
  <c r="X525"/>
  <c r="O525"/>
  <c r="X528"/>
  <c r="O528"/>
  <c r="X533"/>
  <c r="O533"/>
  <c r="X538"/>
  <c r="O538"/>
  <c r="X543"/>
  <c r="O543"/>
  <c r="X552"/>
  <c r="O552"/>
  <c r="X557"/>
  <c r="O557"/>
  <c r="X561"/>
  <c r="O561"/>
  <c r="X564"/>
  <c r="O564"/>
  <c r="X569"/>
  <c r="O569"/>
  <c r="X499"/>
  <c r="O499"/>
  <c r="X507"/>
  <c r="O507"/>
  <c r="X511"/>
  <c r="O511"/>
  <c r="X517"/>
  <c r="O517"/>
  <c r="X521"/>
  <c r="O521"/>
  <c r="X524"/>
  <c r="O524"/>
  <c r="X530"/>
  <c r="O530"/>
  <c r="X534"/>
  <c r="O534"/>
  <c r="X537"/>
  <c r="O537"/>
  <c r="X542"/>
  <c r="O542"/>
  <c r="X553"/>
  <c r="O553"/>
  <c r="X559"/>
  <c r="O559"/>
  <c r="X562"/>
  <c r="O562"/>
  <c r="X568"/>
  <c r="O568"/>
  <c r="O165"/>
  <c r="X165"/>
  <c r="X151"/>
  <c r="O151"/>
  <c r="Q391"/>
  <c r="S391" s="1"/>
  <c r="S394" s="1"/>
  <c r="S381"/>
  <c r="S384" s="1"/>
  <c r="M317"/>
  <c r="O303"/>
  <c r="X303"/>
  <c r="O718"/>
  <c r="X718"/>
  <c r="O767"/>
  <c r="X767"/>
  <c r="M315"/>
  <c r="O301"/>
  <c r="X301"/>
  <c r="O716"/>
  <c r="X716"/>
  <c r="U37" i="2"/>
  <c r="O394" i="1"/>
  <c r="M117" l="1"/>
  <c r="M203"/>
  <c r="M201"/>
  <c r="M118"/>
  <c r="M119"/>
  <c r="M202"/>
  <c r="M206"/>
  <c r="M204"/>
  <c r="M207"/>
  <c r="M121"/>
  <c r="O544"/>
  <c r="O546" s="1"/>
  <c r="V22"/>
  <c r="V23"/>
  <c r="M773"/>
  <c r="M720"/>
  <c r="X291"/>
  <c r="O291"/>
  <c r="M305"/>
  <c r="O318"/>
  <c r="X318"/>
  <c r="O570"/>
  <c r="O572" s="1"/>
  <c r="O502"/>
  <c r="M672"/>
  <c r="M642"/>
  <c r="X627"/>
  <c r="M657"/>
  <c r="O627"/>
  <c r="M94"/>
  <c r="O94" s="1"/>
  <c r="O71"/>
  <c r="O73"/>
  <c r="X313"/>
  <c r="O313"/>
  <c r="O400"/>
  <c r="M418"/>
  <c r="X400"/>
  <c r="M419"/>
  <c r="X401"/>
  <c r="M408"/>
  <c r="O401"/>
  <c r="M760"/>
  <c r="M707"/>
  <c r="M173"/>
  <c r="M145"/>
  <c r="O117"/>
  <c r="M187"/>
  <c r="M159"/>
  <c r="M131"/>
  <c r="X117"/>
  <c r="M103"/>
  <c r="M229"/>
  <c r="X201"/>
  <c r="O201"/>
  <c r="M215"/>
  <c r="M231"/>
  <c r="O203"/>
  <c r="M217"/>
  <c r="X203"/>
  <c r="M235"/>
  <c r="X207"/>
  <c r="O207"/>
  <c r="M221"/>
  <c r="M711"/>
  <c r="M764"/>
  <c r="M191"/>
  <c r="M163"/>
  <c r="M135"/>
  <c r="X121"/>
  <c r="M177"/>
  <c r="M149"/>
  <c r="O121"/>
  <c r="M107"/>
  <c r="M233"/>
  <c r="X205"/>
  <c r="M219"/>
  <c r="O205"/>
  <c r="M612"/>
  <c r="W26" i="2"/>
  <c r="Y26" s="1"/>
  <c r="W378" i="1"/>
  <c r="W380" s="1"/>
  <c r="V393"/>
  <c r="V392"/>
  <c r="O26" i="2"/>
  <c r="X315" i="1"/>
  <c r="O315"/>
  <c r="X317"/>
  <c r="O317"/>
  <c r="Q17"/>
  <c r="Q15"/>
  <c r="Q16"/>
  <c r="Q14"/>
  <c r="O316"/>
  <c r="X316"/>
  <c r="O314"/>
  <c r="X314"/>
  <c r="S42" i="2"/>
  <c r="O48" i="1"/>
  <c r="O50"/>
  <c r="V438"/>
  <c r="V437"/>
  <c r="U43" i="2"/>
  <c r="Q43"/>
  <c r="S43" s="1"/>
  <c r="M417" i="1"/>
  <c r="X399"/>
  <c r="O399"/>
  <c r="M762"/>
  <c r="M709"/>
  <c r="M175"/>
  <c r="M147"/>
  <c r="O119"/>
  <c r="M189"/>
  <c r="M161"/>
  <c r="M133"/>
  <c r="X119"/>
  <c r="M105"/>
  <c r="M216"/>
  <c r="X202"/>
  <c r="O202"/>
  <c r="M230"/>
  <c r="M220"/>
  <c r="X206"/>
  <c r="O206"/>
  <c r="M234"/>
  <c r="M708"/>
  <c r="M761"/>
  <c r="M188"/>
  <c r="M160"/>
  <c r="M132"/>
  <c r="X118"/>
  <c r="M174"/>
  <c r="M146"/>
  <c r="O118"/>
  <c r="M104"/>
  <c r="M218"/>
  <c r="M232"/>
  <c r="X204"/>
  <c r="O204"/>
  <c r="W624" l="1"/>
  <c r="W204"/>
  <c r="O232"/>
  <c r="X232"/>
  <c r="X104"/>
  <c r="O104"/>
  <c r="O146"/>
  <c r="X146"/>
  <c r="X160"/>
  <c r="O160"/>
  <c r="O761"/>
  <c r="X761"/>
  <c r="X220"/>
  <c r="O220"/>
  <c r="X216"/>
  <c r="O216"/>
  <c r="O161"/>
  <c r="X161"/>
  <c r="X175"/>
  <c r="O175"/>
  <c r="X762"/>
  <c r="O762"/>
  <c r="Q58"/>
  <c r="S58" s="1"/>
  <c r="Q35"/>
  <c r="S35" s="1"/>
  <c r="S14"/>
  <c r="Q36"/>
  <c r="S36" s="1"/>
  <c r="Q59"/>
  <c r="S59" s="1"/>
  <c r="S15"/>
  <c r="U26" i="2"/>
  <c r="Q26"/>
  <c r="O27"/>
  <c r="U27" s="1"/>
  <c r="X612" i="1"/>
  <c r="O612"/>
  <c r="O219"/>
  <c r="X219"/>
  <c r="X233"/>
  <c r="O233"/>
  <c r="O177"/>
  <c r="X177"/>
  <c r="X135"/>
  <c r="O135"/>
  <c r="X191"/>
  <c r="O191"/>
  <c r="X711"/>
  <c r="O711"/>
  <c r="X221"/>
  <c r="O221"/>
  <c r="O215"/>
  <c r="X215"/>
  <c r="O103"/>
  <c r="X103"/>
  <c r="O131"/>
  <c r="X131"/>
  <c r="O187"/>
  <c r="X187"/>
  <c r="X145"/>
  <c r="O145"/>
  <c r="X707"/>
  <c r="O707"/>
  <c r="X408"/>
  <c r="O408"/>
  <c r="M426"/>
  <c r="X419"/>
  <c r="O419"/>
  <c r="O16" i="2"/>
  <c r="V68" i="1"/>
  <c r="V69"/>
  <c r="O97"/>
  <c r="O99"/>
  <c r="O657"/>
  <c r="X657"/>
  <c r="X642"/>
  <c r="O642"/>
  <c r="O293"/>
  <c r="O295"/>
  <c r="O720"/>
  <c r="X720"/>
  <c r="V15"/>
  <c r="X218"/>
  <c r="O218"/>
  <c r="O174"/>
  <c r="X174"/>
  <c r="X132"/>
  <c r="O132"/>
  <c r="X188"/>
  <c r="O188"/>
  <c r="X708"/>
  <c r="O708"/>
  <c r="O234"/>
  <c r="X234"/>
  <c r="O230"/>
  <c r="X230"/>
  <c r="O105"/>
  <c r="X105"/>
  <c r="O133"/>
  <c r="X133"/>
  <c r="O189"/>
  <c r="X189"/>
  <c r="X147"/>
  <c r="O147"/>
  <c r="X709"/>
  <c r="O709"/>
  <c r="X417"/>
  <c r="O417"/>
  <c r="V43"/>
  <c r="V42"/>
  <c r="Q60"/>
  <c r="S60" s="1"/>
  <c r="Q37"/>
  <c r="S37" s="1"/>
  <c r="S16"/>
  <c r="Q38"/>
  <c r="S38" s="1"/>
  <c r="Q61"/>
  <c r="S61" s="1"/>
  <c r="S17"/>
  <c r="X107"/>
  <c r="O107"/>
  <c r="O149"/>
  <c r="X149"/>
  <c r="X163"/>
  <c r="O163"/>
  <c r="O764"/>
  <c r="X764"/>
  <c r="X235"/>
  <c r="O235"/>
  <c r="O217"/>
  <c r="X217"/>
  <c r="X231"/>
  <c r="O231"/>
  <c r="O211"/>
  <c r="O209"/>
  <c r="X229"/>
  <c r="O229"/>
  <c r="O159"/>
  <c r="X159"/>
  <c r="X173"/>
  <c r="O173"/>
  <c r="X760"/>
  <c r="O760"/>
  <c r="O418"/>
  <c r="X418"/>
  <c r="O630"/>
  <c r="O632"/>
  <c r="X672"/>
  <c r="O672"/>
  <c r="O504"/>
  <c r="O574"/>
  <c r="M319"/>
  <c r="X305"/>
  <c r="O305"/>
  <c r="O773"/>
  <c r="X773"/>
  <c r="O15" i="2"/>
  <c r="O18" l="1"/>
  <c r="U18" s="1"/>
  <c r="U15"/>
  <c r="Q15"/>
  <c r="O309" i="1"/>
  <c r="O307"/>
  <c r="X319"/>
  <c r="O319"/>
  <c r="O239"/>
  <c r="O237"/>
  <c r="O21" i="2"/>
  <c r="V206" i="1"/>
  <c r="W327"/>
  <c r="W286"/>
  <c r="O24" i="2"/>
  <c r="V292" i="1"/>
  <c r="V285"/>
  <c r="O660"/>
  <c r="O662"/>
  <c r="V97"/>
  <c r="V98"/>
  <c r="O426"/>
  <c r="X426"/>
  <c r="W613"/>
  <c r="O617"/>
  <c r="O614"/>
  <c r="O615" s="1"/>
  <c r="Q205"/>
  <c r="Q204"/>
  <c r="Q207"/>
  <c r="Q206"/>
  <c r="S27"/>
  <c r="S71"/>
  <c r="O579"/>
  <c r="O577"/>
  <c r="W275"/>
  <c r="O675"/>
  <c r="O677"/>
  <c r="Q627"/>
  <c r="Q624"/>
  <c r="Q621"/>
  <c r="Q626"/>
  <c r="Q625"/>
  <c r="Q622"/>
  <c r="V631"/>
  <c r="O32" i="2"/>
  <c r="V620" i="1"/>
  <c r="V18"/>
  <c r="V17"/>
  <c r="O647"/>
  <c r="O645"/>
  <c r="U16" i="2"/>
  <c r="Q16"/>
  <c r="S16" s="1"/>
  <c r="M122" i="1"/>
  <c r="O225"/>
  <c r="O223"/>
  <c r="S26" i="2"/>
  <c r="AA26" s="1"/>
  <c r="S48" i="1"/>
  <c r="W16" i="2" l="1"/>
  <c r="Y16" s="1"/>
  <c r="AA16" s="1"/>
  <c r="V222" i="1"/>
  <c r="V221"/>
  <c r="M765"/>
  <c r="M712"/>
  <c r="M178"/>
  <c r="M150"/>
  <c r="X122"/>
  <c r="O122"/>
  <c r="M192"/>
  <c r="M164"/>
  <c r="M136"/>
  <c r="M108"/>
  <c r="V623"/>
  <c r="V622"/>
  <c r="Q652"/>
  <c r="S652" s="1"/>
  <c r="Q667"/>
  <c r="S667" s="1"/>
  <c r="Q637"/>
  <c r="S637" s="1"/>
  <c r="Q89"/>
  <c r="S89" s="1"/>
  <c r="S622"/>
  <c r="Q656"/>
  <c r="S656" s="1"/>
  <c r="Q671"/>
  <c r="S671" s="1"/>
  <c r="Q641"/>
  <c r="S641" s="1"/>
  <c r="Q93"/>
  <c r="S93" s="1"/>
  <c r="S626"/>
  <c r="Q654"/>
  <c r="S654" s="1"/>
  <c r="Q669"/>
  <c r="S669" s="1"/>
  <c r="Q639"/>
  <c r="S639" s="1"/>
  <c r="Q91"/>
  <c r="S91" s="1"/>
  <c r="S624"/>
  <c r="Q568"/>
  <c r="S568" s="1"/>
  <c r="Q566"/>
  <c r="S566" s="1"/>
  <c r="Q562"/>
  <c r="S562" s="1"/>
  <c r="Q560"/>
  <c r="S560" s="1"/>
  <c r="Q559"/>
  <c r="S559" s="1"/>
  <c r="Q556"/>
  <c r="S556" s="1"/>
  <c r="Q553"/>
  <c r="S553" s="1"/>
  <c r="Q550"/>
  <c r="S550" s="1"/>
  <c r="Q542"/>
  <c r="S542" s="1"/>
  <c r="Q539"/>
  <c r="S539" s="1"/>
  <c r="Q537"/>
  <c r="S537" s="1"/>
  <c r="Q535"/>
  <c r="S535" s="1"/>
  <c r="Q534"/>
  <c r="S534" s="1"/>
  <c r="Q531"/>
  <c r="S531" s="1"/>
  <c r="Q530"/>
  <c r="S530" s="1"/>
  <c r="Q527"/>
  <c r="S527" s="1"/>
  <c r="Q524"/>
  <c r="S524" s="1"/>
  <c r="Q522"/>
  <c r="S522" s="1"/>
  <c r="Q521"/>
  <c r="S521" s="1"/>
  <c r="Q519"/>
  <c r="S519" s="1"/>
  <c r="Q517"/>
  <c r="S517" s="1"/>
  <c r="Q514"/>
  <c r="S514" s="1"/>
  <c r="Q511"/>
  <c r="S511" s="1"/>
  <c r="Q508"/>
  <c r="S508" s="1"/>
  <c r="Q507"/>
  <c r="S507" s="1"/>
  <c r="Q501"/>
  <c r="S501" s="1"/>
  <c r="Q499"/>
  <c r="S499" s="1"/>
  <c r="Q497"/>
  <c r="S497" s="1"/>
  <c r="Q569"/>
  <c r="S569" s="1"/>
  <c r="Q567"/>
  <c r="S567" s="1"/>
  <c r="Q564"/>
  <c r="S564" s="1"/>
  <c r="Q563"/>
  <c r="S563" s="1"/>
  <c r="Q561"/>
  <c r="S561" s="1"/>
  <c r="Q558"/>
  <c r="S558" s="1"/>
  <c r="Q557"/>
  <c r="S557" s="1"/>
  <c r="Q554"/>
  <c r="S554" s="1"/>
  <c r="Q552"/>
  <c r="S552" s="1"/>
  <c r="Q549"/>
  <c r="S549" s="1"/>
  <c r="Q543"/>
  <c r="S543" s="1"/>
  <c r="Q540"/>
  <c r="S540" s="1"/>
  <c r="Q538"/>
  <c r="S538" s="1"/>
  <c r="Q536"/>
  <c r="S536" s="1"/>
  <c r="Q533"/>
  <c r="S533" s="1"/>
  <c r="Q529"/>
  <c r="S529" s="1"/>
  <c r="Q528"/>
  <c r="S528" s="1"/>
  <c r="Q526"/>
  <c r="S526" s="1"/>
  <c r="Q525"/>
  <c r="S525" s="1"/>
  <c r="Q523"/>
  <c r="S523" s="1"/>
  <c r="Q520"/>
  <c r="S520" s="1"/>
  <c r="Q518"/>
  <c r="S518" s="1"/>
  <c r="Q515"/>
  <c r="S515" s="1"/>
  <c r="Q513"/>
  <c r="S513" s="1"/>
  <c r="Q512"/>
  <c r="S512" s="1"/>
  <c r="Q509"/>
  <c r="S509" s="1"/>
  <c r="Q500"/>
  <c r="S500" s="1"/>
  <c r="Q498"/>
  <c r="S498" s="1"/>
  <c r="Q495"/>
  <c r="S495" s="1"/>
  <c r="Q493"/>
  <c r="S493" s="1"/>
  <c r="Q491"/>
  <c r="S491" s="1"/>
  <c r="Q477"/>
  <c r="S477" s="1"/>
  <c r="Q474"/>
  <c r="S474" s="1"/>
  <c r="Q472"/>
  <c r="S472" s="1"/>
  <c r="Q470"/>
  <c r="S470" s="1"/>
  <c r="Q468"/>
  <c r="S468" s="1"/>
  <c r="Q465"/>
  <c r="S465" s="1"/>
  <c r="Q462"/>
  <c r="S462" s="1"/>
  <c r="Q461"/>
  <c r="S461" s="1"/>
  <c r="Q460"/>
  <c r="S460" s="1"/>
  <c r="Q458"/>
  <c r="S458" s="1"/>
  <c r="Q456"/>
  <c r="S456" s="1"/>
  <c r="Q453"/>
  <c r="S453" s="1"/>
  <c r="Q448"/>
  <c r="S448" s="1"/>
  <c r="Q447"/>
  <c r="S447" s="1"/>
  <c r="Q445"/>
  <c r="S445" s="1"/>
  <c r="Q443"/>
  <c r="S443" s="1"/>
  <c r="Q441"/>
  <c r="S441" s="1"/>
  <c r="Q440"/>
  <c r="S440" s="1"/>
  <c r="Q439"/>
  <c r="S439" s="1"/>
  <c r="Q438"/>
  <c r="S438" s="1"/>
  <c r="Q437"/>
  <c r="S437" s="1"/>
  <c r="Q436"/>
  <c r="S436" s="1"/>
  <c r="Q274"/>
  <c r="S274" s="1"/>
  <c r="Q272"/>
  <c r="S272" s="1"/>
  <c r="Q270"/>
  <c r="S270" s="1"/>
  <c r="Q268"/>
  <c r="S268" s="1"/>
  <c r="Q265"/>
  <c r="S265" s="1"/>
  <c r="Q263"/>
  <c r="S263" s="1"/>
  <c r="Q261"/>
  <c r="S261" s="1"/>
  <c r="Q258"/>
  <c r="S258" s="1"/>
  <c r="Q256"/>
  <c r="S256" s="1"/>
  <c r="Q254"/>
  <c r="S254" s="1"/>
  <c r="Q252"/>
  <c r="S252" s="1"/>
  <c r="Q250"/>
  <c r="S250" s="1"/>
  <c r="Q248"/>
  <c r="S248" s="1"/>
  <c r="Q245"/>
  <c r="S245" s="1"/>
  <c r="Q243"/>
  <c r="S243" s="1"/>
  <c r="Q494"/>
  <c r="S494" s="1"/>
  <c r="Q492"/>
  <c r="S492" s="1"/>
  <c r="Q479"/>
  <c r="S479" s="1"/>
  <c r="Q475"/>
  <c r="S475" s="1"/>
  <c r="Q473"/>
  <c r="S473" s="1"/>
  <c r="Q471"/>
  <c r="S471" s="1"/>
  <c r="Q467"/>
  <c r="S467" s="1"/>
  <c r="Q466"/>
  <c r="S466" s="1"/>
  <c r="Q464"/>
  <c r="S464" s="1"/>
  <c r="Q459"/>
  <c r="S459" s="1"/>
  <c r="Q457"/>
  <c r="S457" s="1"/>
  <c r="Q455"/>
  <c r="S455" s="1"/>
  <c r="Q454"/>
  <c r="S454" s="1"/>
  <c r="Q452"/>
  <c r="S452" s="1"/>
  <c r="Q450"/>
  <c r="S450" s="1"/>
  <c r="Q449"/>
  <c r="S449" s="1"/>
  <c r="Q446"/>
  <c r="S446" s="1"/>
  <c r="Q444"/>
  <c r="S444" s="1"/>
  <c r="Q442"/>
  <c r="S442" s="1"/>
  <c r="Q273"/>
  <c r="S273" s="1"/>
  <c r="Q271"/>
  <c r="S271" s="1"/>
  <c r="Q269"/>
  <c r="S269" s="1"/>
  <c r="Q267"/>
  <c r="S267" s="1"/>
  <c r="Q264"/>
  <c r="S264" s="1"/>
  <c r="Q262"/>
  <c r="S262" s="1"/>
  <c r="Q260"/>
  <c r="S260" s="1"/>
  <c r="Q257"/>
  <c r="S257" s="1"/>
  <c r="Q255"/>
  <c r="S255" s="1"/>
  <c r="Q253"/>
  <c r="S253" s="1"/>
  <c r="Q251"/>
  <c r="S251" s="1"/>
  <c r="Q249"/>
  <c r="S249" s="1"/>
  <c r="Q246"/>
  <c r="S246" s="1"/>
  <c r="Q244"/>
  <c r="S244" s="1"/>
  <c r="Q235"/>
  <c r="S235" s="1"/>
  <c r="Q221"/>
  <c r="S221" s="1"/>
  <c r="S207"/>
  <c r="Q233"/>
  <c r="S233" s="1"/>
  <c r="Q219"/>
  <c r="S219" s="1"/>
  <c r="S205"/>
  <c r="V288"/>
  <c r="V287"/>
  <c r="U24" i="2"/>
  <c r="Q24"/>
  <c r="S24" s="1"/>
  <c r="W289" i="1"/>
  <c r="V854"/>
  <c r="V855" s="1"/>
  <c r="U21" i="2"/>
  <c r="Q21"/>
  <c r="S21" s="1"/>
  <c r="V236" i="1"/>
  <c r="V235"/>
  <c r="Q18" i="2"/>
  <c r="S18" s="1"/>
  <c r="S15"/>
  <c r="V646" i="1"/>
  <c r="V645"/>
  <c r="U32" i="2"/>
  <c r="Q32"/>
  <c r="S32" s="1"/>
  <c r="Q670" i="1"/>
  <c r="S670" s="1"/>
  <c r="Q640"/>
  <c r="S640" s="1"/>
  <c r="Q655"/>
  <c r="S655" s="1"/>
  <c r="Q92"/>
  <c r="S92" s="1"/>
  <c r="S625"/>
  <c r="Q666"/>
  <c r="S666" s="1"/>
  <c r="Q636"/>
  <c r="S636" s="1"/>
  <c r="Q651"/>
  <c r="S651" s="1"/>
  <c r="Q88"/>
  <c r="S88" s="1"/>
  <c r="S621"/>
  <c r="Q672"/>
  <c r="S672" s="1"/>
  <c r="Q642"/>
  <c r="S642" s="1"/>
  <c r="Q657"/>
  <c r="S657" s="1"/>
  <c r="Q94"/>
  <c r="S94" s="1"/>
  <c r="S627"/>
  <c r="V676"/>
  <c r="V675"/>
  <c r="O44" i="2"/>
  <c r="U578" i="1"/>
  <c r="U577"/>
  <c r="V496"/>
  <c r="V491"/>
  <c r="W15" i="2"/>
  <c r="W15" i="1"/>
  <c r="W17" s="1"/>
  <c r="Q220"/>
  <c r="S220" s="1"/>
  <c r="Q234"/>
  <c r="S234" s="1"/>
  <c r="S206"/>
  <c r="Q218"/>
  <c r="S218" s="1"/>
  <c r="Q232"/>
  <c r="S232" s="1"/>
  <c r="S204"/>
  <c r="V615"/>
  <c r="V609"/>
  <c r="O31" i="2"/>
  <c r="Q611" i="1"/>
  <c r="S611" s="1"/>
  <c r="Q604"/>
  <c r="S604" s="1"/>
  <c r="Q612"/>
  <c r="S612" s="1"/>
  <c r="Q605"/>
  <c r="S605" s="1"/>
  <c r="V660"/>
  <c r="V661"/>
  <c r="W330"/>
  <c r="O321"/>
  <c r="O323"/>
  <c r="V306"/>
  <c r="V305"/>
  <c r="V410"/>
  <c r="S237" l="1"/>
  <c r="S630"/>
  <c r="S660"/>
  <c r="S675"/>
  <c r="Q332"/>
  <c r="Q331"/>
  <c r="Q328"/>
  <c r="Q330"/>
  <c r="Q329"/>
  <c r="V320"/>
  <c r="V319"/>
  <c r="V612"/>
  <c r="V611"/>
  <c r="W18" i="2"/>
  <c r="Y15"/>
  <c r="V494" i="1"/>
  <c r="V493"/>
  <c r="U44" i="2"/>
  <c r="Q44"/>
  <c r="O47"/>
  <c r="O136" i="1"/>
  <c r="X136"/>
  <c r="O192"/>
  <c r="X192"/>
  <c r="X178"/>
  <c r="O178"/>
  <c r="X765"/>
  <c r="O765"/>
  <c r="S614"/>
  <c r="S209"/>
  <c r="S223"/>
  <c r="S97"/>
  <c r="W620" s="1"/>
  <c r="S645"/>
  <c r="S275"/>
  <c r="S279" s="1"/>
  <c r="S570"/>
  <c r="S572" s="1"/>
  <c r="M405"/>
  <c r="M403"/>
  <c r="M422"/>
  <c r="M409"/>
  <c r="M404"/>
  <c r="M402"/>
  <c r="U31" i="2"/>
  <c r="Q31"/>
  <c r="S31" s="1"/>
  <c r="W622" i="1"/>
  <c r="Q719"/>
  <c r="S719" s="1"/>
  <c r="Q715"/>
  <c r="S715" s="1"/>
  <c r="Q720"/>
  <c r="S720" s="1"/>
  <c r="Q718"/>
  <c r="S718" s="1"/>
  <c r="Q716"/>
  <c r="S716" s="1"/>
  <c r="Q319"/>
  <c r="S319" s="1"/>
  <c r="Q317"/>
  <c r="S317" s="1"/>
  <c r="Q315"/>
  <c r="S315" s="1"/>
  <c r="Q304"/>
  <c r="S304" s="1"/>
  <c r="Q300"/>
  <c r="S300" s="1"/>
  <c r="Q289"/>
  <c r="Q286"/>
  <c r="Q318"/>
  <c r="S318" s="1"/>
  <c r="Q314"/>
  <c r="S314" s="1"/>
  <c r="Q305"/>
  <c r="S305" s="1"/>
  <c r="Q303"/>
  <c r="S303" s="1"/>
  <c r="Q301"/>
  <c r="S301" s="1"/>
  <c r="Q291"/>
  <c r="Q290"/>
  <c r="Q287"/>
  <c r="O108"/>
  <c r="W123" s="1"/>
  <c r="X108"/>
  <c r="O164"/>
  <c r="X164"/>
  <c r="O127"/>
  <c r="O125"/>
  <c r="X150"/>
  <c r="O150"/>
  <c r="X712"/>
  <c r="O712"/>
  <c r="S607"/>
  <c r="AA15" i="2"/>
  <c r="S480" i="1"/>
  <c r="S484" s="1"/>
  <c r="S502"/>
  <c r="S544"/>
  <c r="S546" s="1"/>
  <c r="W32" i="2" l="1"/>
  <c r="W43"/>
  <c r="Y43" s="1"/>
  <c r="AA43" s="1"/>
  <c r="S321" i="1"/>
  <c r="V685"/>
  <c r="O155"/>
  <c r="O153"/>
  <c r="V126"/>
  <c r="S574"/>
  <c r="S577" s="1"/>
  <c r="S504"/>
  <c r="Q121"/>
  <c r="Q118"/>
  <c r="Q122"/>
  <c r="Q117"/>
  <c r="O169"/>
  <c r="O167"/>
  <c r="O111"/>
  <c r="O113"/>
  <c r="Q772"/>
  <c r="S772" s="1"/>
  <c r="S290"/>
  <c r="Q771"/>
  <c r="S771" s="1"/>
  <c r="S289"/>
  <c r="O402"/>
  <c r="M420"/>
  <c r="X402"/>
  <c r="M427"/>
  <c r="O409"/>
  <c r="X409"/>
  <c r="M421"/>
  <c r="X403"/>
  <c r="O403"/>
  <c r="W21" i="2"/>
  <c r="Y21" s="1"/>
  <c r="AA21" s="1"/>
  <c r="W200" i="1"/>
  <c r="W202" s="1"/>
  <c r="O197"/>
  <c r="O195"/>
  <c r="O141"/>
  <c r="O139"/>
  <c r="S44" i="2"/>
  <c r="Q47"/>
  <c r="Q819" i="1"/>
  <c r="S819" s="1"/>
  <c r="Q807"/>
  <c r="S807" s="1"/>
  <c r="Q777"/>
  <c r="S777" s="1"/>
  <c r="Q724"/>
  <c r="S724" s="1"/>
  <c r="Q368"/>
  <c r="S368" s="1"/>
  <c r="Q355"/>
  <c r="S355" s="1"/>
  <c r="Q342"/>
  <c r="S342" s="1"/>
  <c r="S329"/>
  <c r="Q818"/>
  <c r="S818" s="1"/>
  <c r="Q806"/>
  <c r="S806" s="1"/>
  <c r="Q776"/>
  <c r="S776" s="1"/>
  <c r="Q723"/>
  <c r="S723" s="1"/>
  <c r="Q367"/>
  <c r="S367" s="1"/>
  <c r="Q354"/>
  <c r="S354" s="1"/>
  <c r="Q341"/>
  <c r="S341" s="1"/>
  <c r="S328"/>
  <c r="Q822"/>
  <c r="S822" s="1"/>
  <c r="Q811"/>
  <c r="S811" s="1"/>
  <c r="Q780"/>
  <c r="S780" s="1"/>
  <c r="Q727"/>
  <c r="S727" s="1"/>
  <c r="Q371"/>
  <c r="S371" s="1"/>
  <c r="Q358"/>
  <c r="S358" s="1"/>
  <c r="Q345"/>
  <c r="S345" s="1"/>
  <c r="S332"/>
  <c r="Q768"/>
  <c r="S768" s="1"/>
  <c r="S287"/>
  <c r="Q773"/>
  <c r="S773" s="1"/>
  <c r="S291"/>
  <c r="Q767"/>
  <c r="S767" s="1"/>
  <c r="S286"/>
  <c r="AB32" i="2"/>
  <c r="Y32"/>
  <c r="AA32" s="1"/>
  <c r="O404" i="1"/>
  <c r="X404"/>
  <c r="O422"/>
  <c r="X422"/>
  <c r="X405"/>
  <c r="O405"/>
  <c r="W42" i="2"/>
  <c r="W271" i="1"/>
  <c r="W273" s="1"/>
  <c r="O183"/>
  <c r="O181"/>
  <c r="U47" i="2"/>
  <c r="O51"/>
  <c r="AB18"/>
  <c r="Y18"/>
  <c r="AA18" s="1"/>
  <c r="Q820" i="1"/>
  <c r="S820" s="1"/>
  <c r="Q809"/>
  <c r="S809" s="1"/>
  <c r="Q778"/>
  <c r="S778" s="1"/>
  <c r="Q725"/>
  <c r="S725" s="1"/>
  <c r="Q369"/>
  <c r="S369" s="1"/>
  <c r="Q356"/>
  <c r="S356" s="1"/>
  <c r="Q343"/>
  <c r="S343" s="1"/>
  <c r="S330"/>
  <c r="Q821"/>
  <c r="S821" s="1"/>
  <c r="Q810"/>
  <c r="S810" s="1"/>
  <c r="Q779"/>
  <c r="S779" s="1"/>
  <c r="Q726"/>
  <c r="S726" s="1"/>
  <c r="Q370"/>
  <c r="S370" s="1"/>
  <c r="Q357"/>
  <c r="S357" s="1"/>
  <c r="Q344"/>
  <c r="S344" s="1"/>
  <c r="S331"/>
  <c r="S307"/>
  <c r="S615"/>
  <c r="W44" i="2" l="1"/>
  <c r="Y44" s="1"/>
  <c r="AA44" s="1"/>
  <c r="W31"/>
  <c r="W609" i="1"/>
  <c r="W611" s="1"/>
  <c r="S47" i="2"/>
  <c r="Q51"/>
  <c r="V139" i="1"/>
  <c r="V140"/>
  <c r="X421"/>
  <c r="O421"/>
  <c r="X427"/>
  <c r="O427"/>
  <c r="O414"/>
  <c r="O406"/>
  <c r="V167"/>
  <c r="V168"/>
  <c r="Q765"/>
  <c r="S765" s="1"/>
  <c r="Q712"/>
  <c r="S712" s="1"/>
  <c r="Q178"/>
  <c r="S178" s="1"/>
  <c r="Q150"/>
  <c r="S150" s="1"/>
  <c r="Q192"/>
  <c r="S192" s="1"/>
  <c r="Q164"/>
  <c r="S164" s="1"/>
  <c r="Q136"/>
  <c r="S136" s="1"/>
  <c r="Q108"/>
  <c r="S108" s="1"/>
  <c r="S122"/>
  <c r="Q711"/>
  <c r="S711" s="1"/>
  <c r="Q764"/>
  <c r="S764" s="1"/>
  <c r="Q191"/>
  <c r="S191" s="1"/>
  <c r="Q163"/>
  <c r="S163" s="1"/>
  <c r="Q135"/>
  <c r="S135" s="1"/>
  <c r="Q177"/>
  <c r="S177" s="1"/>
  <c r="Q149"/>
  <c r="S149" s="1"/>
  <c r="Q107"/>
  <c r="S107" s="1"/>
  <c r="S121"/>
  <c r="M689"/>
  <c r="M681"/>
  <c r="M700"/>
  <c r="M698"/>
  <c r="M696"/>
  <c r="M695"/>
  <c r="M693"/>
  <c r="M691"/>
  <c r="M688"/>
  <c r="M686"/>
  <c r="M684"/>
  <c r="M682"/>
  <c r="S347"/>
  <c r="S373"/>
  <c r="S823"/>
  <c r="U51" i="2"/>
  <c r="O22"/>
  <c r="V180" i="1"/>
  <c r="V179"/>
  <c r="W47" i="2"/>
  <c r="Y42"/>
  <c r="AA42" s="1"/>
  <c r="V194" i="1"/>
  <c r="V193"/>
  <c r="O410"/>
  <c r="O412" s="1"/>
  <c r="O420"/>
  <c r="X420"/>
  <c r="V119"/>
  <c r="V112"/>
  <c r="V111"/>
  <c r="Q760"/>
  <c r="S760" s="1"/>
  <c r="Q707"/>
  <c r="S707" s="1"/>
  <c r="Q173"/>
  <c r="S173" s="1"/>
  <c r="Q145"/>
  <c r="S145" s="1"/>
  <c r="Q187"/>
  <c r="S187" s="1"/>
  <c r="Q159"/>
  <c r="S159" s="1"/>
  <c r="Q131"/>
  <c r="S131" s="1"/>
  <c r="Q103"/>
  <c r="S103" s="1"/>
  <c r="S117"/>
  <c r="Q708"/>
  <c r="S708" s="1"/>
  <c r="Q761"/>
  <c r="S761" s="1"/>
  <c r="Q188"/>
  <c r="S188" s="1"/>
  <c r="Q160"/>
  <c r="S160" s="1"/>
  <c r="Q132"/>
  <c r="S132" s="1"/>
  <c r="Q174"/>
  <c r="S174" s="1"/>
  <c r="Q146"/>
  <c r="S146" s="1"/>
  <c r="Q104"/>
  <c r="S104" s="1"/>
  <c r="S118"/>
  <c r="V154"/>
  <c r="V153"/>
  <c r="S293"/>
  <c r="S334"/>
  <c r="S360"/>
  <c r="S812"/>
  <c r="O20" i="2"/>
  <c r="S125" i="1" l="1"/>
  <c r="W36" i="2"/>
  <c r="AB36" s="1"/>
  <c r="W37"/>
  <c r="S111" i="1"/>
  <c r="S167"/>
  <c r="W24" i="2"/>
  <c r="W285" i="1"/>
  <c r="W287" s="1"/>
  <c r="O23" i="2"/>
  <c r="U23" s="1"/>
  <c r="U20"/>
  <c r="Q20"/>
  <c r="W25"/>
  <c r="W326" i="1"/>
  <c r="W328" s="1"/>
  <c r="U22" i="2"/>
  <c r="Q22"/>
  <c r="S22" s="1"/>
  <c r="M685" i="1"/>
  <c r="X684"/>
  <c r="O684"/>
  <c r="M737"/>
  <c r="M741"/>
  <c r="O688"/>
  <c r="X688"/>
  <c r="M746"/>
  <c r="O693"/>
  <c r="X693"/>
  <c r="M749"/>
  <c r="O696"/>
  <c r="X696"/>
  <c r="O700"/>
  <c r="M753"/>
  <c r="X700"/>
  <c r="X689"/>
  <c r="M742"/>
  <c r="O689"/>
  <c r="S51" i="2"/>
  <c r="AB31"/>
  <c r="Y31"/>
  <c r="AA31" s="1"/>
  <c r="S728" i="1"/>
  <c r="S139"/>
  <c r="S195"/>
  <c r="S181"/>
  <c r="S781"/>
  <c r="V122"/>
  <c r="V121"/>
  <c r="O28" i="2"/>
  <c r="V411" i="1"/>
  <c r="AB47" i="2"/>
  <c r="Y47"/>
  <c r="AA47" s="1"/>
  <c r="W51"/>
  <c r="AB37"/>
  <c r="M735" i="1"/>
  <c r="X682"/>
  <c r="O682"/>
  <c r="X686"/>
  <c r="O686"/>
  <c r="M739"/>
  <c r="M744"/>
  <c r="M692"/>
  <c r="O691"/>
  <c r="X691"/>
  <c r="O695"/>
  <c r="M748"/>
  <c r="X695"/>
  <c r="O698"/>
  <c r="M751"/>
  <c r="M699"/>
  <c r="X698"/>
  <c r="M734"/>
  <c r="X681"/>
  <c r="O681"/>
  <c r="O428"/>
  <c r="S153"/>
  <c r="W119" l="1"/>
  <c r="M802"/>
  <c r="O751"/>
  <c r="X751"/>
  <c r="X744"/>
  <c r="O744"/>
  <c r="X735"/>
  <c r="O735"/>
  <c r="U28" i="2"/>
  <c r="Q28"/>
  <c r="W20"/>
  <c r="W121" i="1"/>
  <c r="O753"/>
  <c r="M804"/>
  <c r="X753"/>
  <c r="M800"/>
  <c r="X749"/>
  <c r="O749"/>
  <c r="X741"/>
  <c r="O741"/>
  <c r="M738"/>
  <c r="X685"/>
  <c r="O685"/>
  <c r="Q23" i="2"/>
  <c r="S23" s="1"/>
  <c r="S20"/>
  <c r="O734" i="1"/>
  <c r="X734"/>
  <c r="M752"/>
  <c r="O699"/>
  <c r="X699"/>
  <c r="M799"/>
  <c r="O748"/>
  <c r="X748"/>
  <c r="X692"/>
  <c r="M745"/>
  <c r="O692"/>
  <c r="O704" s="1"/>
  <c r="O730" s="1"/>
  <c r="O739"/>
  <c r="X739"/>
  <c r="Y51" i="2"/>
  <c r="AA51" s="1"/>
  <c r="O742" i="1"/>
  <c r="X742"/>
  <c r="X746"/>
  <c r="O746"/>
  <c r="O737"/>
  <c r="X737"/>
  <c r="W27" i="2"/>
  <c r="AB24"/>
  <c r="Y24"/>
  <c r="AA24" s="1"/>
  <c r="M423" i="1"/>
  <c r="W22" i="2"/>
  <c r="Y22" s="1"/>
  <c r="AA22" s="1"/>
  <c r="W33"/>
  <c r="O702" i="1" l="1"/>
  <c r="AB33" i="2"/>
  <c r="Y33"/>
  <c r="X423" i="1"/>
  <c r="O423"/>
  <c r="AB27" i="2"/>
  <c r="O745" i="1"/>
  <c r="X745"/>
  <c r="X799"/>
  <c r="O799"/>
  <c r="X738"/>
  <c r="O738"/>
  <c r="O755" s="1"/>
  <c r="S28" i="2"/>
  <c r="X802" i="1"/>
  <c r="O802"/>
  <c r="O728"/>
  <c r="V702"/>
  <c r="X752"/>
  <c r="M803"/>
  <c r="O752"/>
  <c r="O757" s="1"/>
  <c r="O783" s="1"/>
  <c r="X800"/>
  <c r="O800"/>
  <c r="X804"/>
  <c r="O804"/>
  <c r="W23" i="2"/>
  <c r="Y20"/>
  <c r="AA20" s="1"/>
  <c r="AB23" l="1"/>
  <c r="Y23"/>
  <c r="AA23" s="1"/>
  <c r="O432" i="1"/>
  <c r="O424"/>
  <c r="O430" s="1"/>
  <c r="W409"/>
  <c r="O781"/>
  <c r="O33" i="2" s="1"/>
  <c r="V755" i="1"/>
  <c r="O803"/>
  <c r="O812" s="1"/>
  <c r="X803"/>
  <c r="V728"/>
  <c r="V729"/>
  <c r="V812" l="1"/>
  <c r="V680"/>
  <c r="V683" s="1"/>
  <c r="U33" i="2"/>
  <c r="Q33"/>
  <c r="S33" s="1"/>
  <c r="AA33" s="1"/>
  <c r="V782" i="1"/>
  <c r="O29" i="2"/>
  <c r="V429" i="1"/>
  <c r="O854"/>
  <c r="V405"/>
  <c r="V686"/>
  <c r="V682"/>
  <c r="O36" i="2"/>
  <c r="V326" i="1"/>
  <c r="Q427"/>
  <c r="S427" s="1"/>
  <c r="S428" s="1"/>
  <c r="Q423"/>
  <c r="S423" s="1"/>
  <c r="Q405"/>
  <c r="S405" s="1"/>
  <c r="Q422"/>
  <c r="S422" s="1"/>
  <c r="Q420"/>
  <c r="S420" s="1"/>
  <c r="Q409"/>
  <c r="S409" s="1"/>
  <c r="S410" s="1"/>
  <c r="Q404"/>
  <c r="S404" s="1"/>
  <c r="Q402"/>
  <c r="S402" l="1"/>
  <c r="S406" s="1"/>
  <c r="V328"/>
  <c r="V329"/>
  <c r="U36" i="2"/>
  <c r="S412" i="1"/>
  <c r="V409"/>
  <c r="V407"/>
  <c r="O856"/>
  <c r="U29" i="2"/>
  <c r="Q29"/>
  <c r="O30"/>
  <c r="U30" s="1"/>
  <c r="O39"/>
  <c r="S424" i="1"/>
  <c r="S430" s="1"/>
  <c r="W29" i="2" l="1"/>
  <c r="Y29" s="1"/>
  <c r="O40"/>
  <c r="U39"/>
  <c r="O52"/>
  <c r="U52" s="1"/>
  <c r="S29"/>
  <c r="AA29" s="1"/>
  <c r="Q30"/>
  <c r="S30" s="1"/>
  <c r="W28"/>
  <c r="W405" i="1"/>
  <c r="W407" s="1"/>
  <c r="S854"/>
  <c r="S856" l="1"/>
  <c r="U854"/>
  <c r="Y28" i="2"/>
  <c r="AA28" s="1"/>
  <c r="W30"/>
  <c r="W39"/>
  <c r="U40"/>
  <c r="O53"/>
  <c r="U53" s="1"/>
  <c r="AB30" l="1"/>
  <c r="Y30"/>
  <c r="AA30" s="1"/>
  <c r="W40"/>
  <c r="W52"/>
  <c r="AB52" l="1"/>
  <c r="W626" i="1"/>
  <c r="W332"/>
  <c r="W125"/>
  <c r="W53" i="2"/>
  <c r="Y327" i="1" l="1"/>
  <c r="K813" l="1"/>
  <c r="K824"/>
  <c r="K335"/>
  <c r="V333"/>
  <c r="K336"/>
  <c r="K855"/>
  <c r="K856" s="1"/>
  <c r="V802"/>
  <c r="M25" i="2"/>
  <c r="K361" i="1" l="1"/>
  <c r="K348"/>
  <c r="K374"/>
  <c r="Y328"/>
  <c r="V800"/>
  <c r="M36" i="2"/>
  <c r="M39" s="1"/>
  <c r="V813" i="1"/>
  <c r="V801"/>
  <c r="M37" i="2"/>
  <c r="V824" i="1"/>
  <c r="Y25" i="2"/>
  <c r="Q25"/>
  <c r="M27"/>
  <c r="Y27" s="1"/>
  <c r="Q37" l="1"/>
  <c r="S37" s="1"/>
  <c r="Y37"/>
  <c r="K375" i="1"/>
  <c r="V372"/>
  <c r="K362"/>
  <c r="V359"/>
  <c r="Y36" i="2"/>
  <c r="Q36"/>
  <c r="S36" s="1"/>
  <c r="K349" i="1"/>
  <c r="V346"/>
  <c r="Y39" i="2"/>
  <c r="M52"/>
  <c r="Y52" s="1"/>
  <c r="M40"/>
  <c r="S25"/>
  <c r="AA25" s="1"/>
  <c r="Q27"/>
  <c r="S27" s="1"/>
  <c r="AA27" s="1"/>
  <c r="Q39"/>
  <c r="AA36" l="1"/>
  <c r="AA37"/>
  <c r="Q40"/>
  <c r="S39"/>
  <c r="AA39" s="1"/>
  <c r="Q52"/>
  <c r="M53"/>
  <c r="Y40"/>
  <c r="S52" l="1"/>
  <c r="AA52" s="1"/>
  <c r="V629" i="1"/>
  <c r="M55" i="2"/>
  <c r="Y53"/>
  <c r="S40"/>
  <c r="AA40" s="1"/>
  <c r="Q53"/>
  <c r="S53" s="1"/>
  <c r="AA53" l="1"/>
</calcChain>
</file>

<file path=xl/comments1.xml><?xml version="1.0" encoding="utf-8"?>
<comments xmlns="http://schemas.openxmlformats.org/spreadsheetml/2006/main">
  <authors>
    <author>James Zhang</author>
  </authors>
  <commentList>
    <comment ref="U24" author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U25" author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U26" author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V627" authorId="0">
      <text>
        <r>
          <rPr>
            <sz val="12"/>
            <color indexed="81"/>
            <rFont val="Tahoma"/>
            <family val="2"/>
          </rPr>
          <t>Using Sch23 and 6 To make the Table A Increase match the Total Utah Revenue Requirement</t>
        </r>
      </text>
    </comment>
    <comment ref="V628" authorId="0">
      <text>
        <r>
          <rPr>
            <sz val="12"/>
            <color indexed="81"/>
            <rFont val="Tahoma"/>
            <family val="2"/>
          </rPr>
          <t>Using Sch23 and 6 To make the Table A Increase match the Total Utah Revenue Requirement</t>
        </r>
      </text>
    </comment>
  </commentList>
</comments>
</file>

<file path=xl/sharedStrings.xml><?xml version="1.0" encoding="utf-8"?>
<sst xmlns="http://schemas.openxmlformats.org/spreadsheetml/2006/main" count="1440" uniqueCount="450">
  <si>
    <t>Rocky Mountain Power - State of Utah</t>
  </si>
  <si>
    <t>Blocking Based on Adjusted Actuals and Forecasted Loads</t>
  </si>
  <si>
    <t xml:space="preserve">Present </t>
  </si>
  <si>
    <t>Forecasted</t>
  </si>
  <si>
    <t>REC</t>
  </si>
  <si>
    <t>Adjusted</t>
  </si>
  <si>
    <t>Revenue</t>
  </si>
  <si>
    <t>Proposed</t>
  </si>
  <si>
    <t>Actual Units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</si>
  <si>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</si>
  <si>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</si>
  <si>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</si>
  <si>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</si>
  <si>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</si>
  <si>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</si>
  <si>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</si>
  <si>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 xml:space="preserve">  First 400 kWh (May-Sept)</t>
  </si>
  <si>
    <t>¢</t>
  </si>
  <si>
    <t>Res 1, 2, 3</t>
  </si>
  <si>
    <t xml:space="preserve">  Next 600 kWh (May-Sept)</t>
  </si>
  <si>
    <t>In Rate</t>
  </si>
  <si>
    <t xml:space="preserve">  All add'l kWh (May-Sept)</t>
  </si>
  <si>
    <t>Target</t>
  </si>
  <si>
    <t xml:space="preserve">  All kWh (Oct-Apr)</t>
  </si>
  <si>
    <t>D</t>
  </si>
  <si>
    <t xml:space="preserve">  Minimum 1 Phase</t>
  </si>
  <si>
    <t>In Rate Change</t>
  </si>
  <si>
    <t xml:space="preserve">  Minimum 3 Phase</t>
  </si>
  <si>
    <t>Target Change</t>
  </si>
  <si>
    <t xml:space="preserve">  Minimum Seasonal</t>
  </si>
  <si>
    <t>Energy %</t>
  </si>
  <si>
    <t xml:space="preserve">  kWh in Minimum</t>
  </si>
  <si>
    <t>Basic Charge</t>
  </si>
  <si>
    <t xml:space="preserve">      kWh in Minimum 1 Phase - Summer</t>
  </si>
  <si>
    <t>Sch 1</t>
  </si>
  <si>
    <t xml:space="preserve">      kWh in Minimum 1 Phase - Winter</t>
  </si>
  <si>
    <t>Sch 1 Net</t>
  </si>
  <si>
    <t xml:space="preserve">      kWh in Minimum 3 Phase - Summer</t>
  </si>
  <si>
    <t xml:space="preserve">Annual Avg Usage </t>
  </si>
  <si>
    <t xml:space="preserve">      kWh in Minimum 3 Phase - Winter</t>
  </si>
  <si>
    <t xml:space="preserve">Summer Avg Usage </t>
  </si>
  <si>
    <t xml:space="preserve">  Unbilled</t>
  </si>
  <si>
    <t xml:space="preserve">Winter Avg Usage </t>
  </si>
  <si>
    <t xml:space="preserve">  Total</t>
  </si>
  <si>
    <t>Adj</t>
  </si>
  <si>
    <t xml:space="preserve">  Schedule 40</t>
  </si>
  <si>
    <t xml:space="preserve">  DSM</t>
  </si>
  <si>
    <t>Schedule No. 3- Residential Service</t>
  </si>
  <si>
    <t>Net Change</t>
  </si>
  <si>
    <t>Avg Usage - A</t>
  </si>
  <si>
    <t>Avg Usage - S</t>
  </si>
  <si>
    <t>Avg Usage - W</t>
  </si>
  <si>
    <t>Schedule No. 2 - Residential Service Optional Time-of-Day</t>
  </si>
  <si>
    <t xml:space="preserve">  On-Peak kWh (May - Sept)</t>
  </si>
  <si>
    <t xml:space="preserve">  Off-Peak kWh (May - Sept)</t>
  </si>
  <si>
    <t>Avg Usage</t>
  </si>
  <si>
    <t>Schedule No. 25 - Mobile Home and House Trailer Park Service</t>
  </si>
  <si>
    <t xml:space="preserve">  All kW</t>
  </si>
  <si>
    <t xml:space="preserve">  Voltage Discount All kW</t>
  </si>
  <si>
    <t xml:space="preserve">  All kWh</t>
  </si>
  <si>
    <t xml:space="preserve">  Minimum Per Home</t>
  </si>
  <si>
    <t>Schedule No. 25 - Move to Schedule 23</t>
  </si>
  <si>
    <t xml:space="preserve">  kW over 15 (May - Sept)</t>
  </si>
  <si>
    <t xml:space="preserve">  kW over 15 (Oct - Apr)</t>
  </si>
  <si>
    <t xml:space="preserve">  Voltage Discount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</si>
  <si>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</si>
  <si>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</si>
  <si>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</si>
  <si>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</si>
  <si>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 xml:space="preserve">  Seasonal Service</t>
  </si>
  <si>
    <t>Schedule No. 25 - Move to Schedule 6</t>
  </si>
  <si>
    <t xml:space="preserve">  All kW (May - Sept)</t>
  </si>
  <si>
    <t xml:space="preserve">  All kW (Oct - Apr)</t>
  </si>
  <si>
    <t xml:space="preserve">      kWh (May-Sept)</t>
  </si>
  <si>
    <t xml:space="preserve">      kWh (Oct-Apr)</t>
  </si>
  <si>
    <t>Schedule No. 6 - Composite</t>
  </si>
  <si>
    <t>Sch 6/6A/6B</t>
  </si>
  <si>
    <t xml:space="preserve">      kWh (May - Sept)</t>
  </si>
  <si>
    <t xml:space="preserve">      kWh (Oct - Apr)</t>
  </si>
  <si>
    <t>Table A Actual</t>
  </si>
  <si>
    <t>Non-Basic Change</t>
  </si>
  <si>
    <t>Table A RR</t>
  </si>
  <si>
    <t>Schedule No. 6 - Commercial</t>
  </si>
  <si>
    <t>Schedule No. 6 - Industrial</t>
  </si>
  <si>
    <t>Schedule No. 6 - OSPA</t>
  </si>
  <si>
    <t>Schedule No. 6B - Demand Time-of-Day Option - Commercial</t>
  </si>
  <si>
    <t xml:space="preserve">  All On-peak kW (May - Sept)</t>
  </si>
  <si>
    <t xml:space="preserve">  All On-peak kW (Oct - Apr)</t>
  </si>
  <si>
    <t>Schedule No. 6B - Demand Time-of-Day Option - Industrial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</si>
  <si>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</si>
  <si>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</si>
  <si>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</si>
  <si>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</si>
  <si>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</si>
  <si>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>Summer Ratio</t>
  </si>
  <si>
    <t>Winter Ratio</t>
  </si>
  <si>
    <t>Avg kW</t>
  </si>
  <si>
    <t>Schedule No. 6A - Energy Time-of-Day Option - Commercial</t>
  </si>
  <si>
    <t>Schedule No. 6A - Energy Time-of-Day Option - Industrial</t>
  </si>
  <si>
    <t>Schedule No. 7 - Security Area Lighting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</si>
  <si>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</si>
  <si>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</si>
  <si>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</si>
  <si>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</si>
  <si>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</si>
  <si>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</si>
  <si>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</si>
  <si>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</si>
  <si>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</si>
  <si>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</si>
  <si>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</si>
  <si>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</si>
  <si>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</si>
  <si>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</si>
  <si>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</si>
  <si>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</si>
  <si>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</si>
  <si>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</si>
  <si>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</si>
  <si>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</si>
  <si>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</si>
  <si>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</si>
  <si>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</si>
  <si>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</si>
  <si>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</si>
  <si>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</si>
  <si>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</si>
  <si>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</si>
  <si>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</si>
  <si>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</si>
  <si>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Rate Change</t>
  </si>
  <si>
    <t>Customers</t>
  </si>
  <si>
    <t>Total (kWh)</t>
  </si>
  <si>
    <t>Schedule No. 8 - Composite</t>
  </si>
  <si>
    <t>REC-Sch8/31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</si>
  <si>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</si>
  <si>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</si>
  <si>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</si>
  <si>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</si>
  <si>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8 - Commercial</t>
  </si>
  <si>
    <t>Schedule No. 8 - Industrial</t>
  </si>
  <si>
    <t>Schedule No. 9 - Composite</t>
  </si>
  <si>
    <t>Sch 9/9A/C3/C4</t>
  </si>
  <si>
    <t>REC-Sch9/C3/C4/31</t>
  </si>
  <si>
    <t>Sch 98 Rate</t>
  </si>
  <si>
    <t xml:space="preserve">  On-Peak kWh (May-Sept)</t>
  </si>
  <si>
    <t xml:space="preserve">  On-Peak kWh (Oct-Apr)</t>
  </si>
  <si>
    <t>Schedule No. 9 - Commercial</t>
  </si>
  <si>
    <t>Schedule No. 9 - Industrial</t>
  </si>
  <si>
    <t>Schedule No. 9 - OSPA</t>
  </si>
  <si>
    <t>Schedule No. 9A - Energy TOD - Commercial</t>
  </si>
  <si>
    <t>REC-Sch9A</t>
  </si>
  <si>
    <t xml:space="preserve">  Customer Charge (LM)</t>
  </si>
  <si>
    <t xml:space="preserve">  Facilities Charge per kW</t>
  </si>
  <si>
    <t xml:space="preserve">  On-Peak kWh</t>
  </si>
  <si>
    <t>Schedule No. 9A - Energy TOD - Industrial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</si>
  <si>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</si>
  <si>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</si>
  <si>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</si>
  <si>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</si>
  <si>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</si>
  <si>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</si>
  <si>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>Sch 10, 10TOD</t>
  </si>
  <si>
    <t xml:space="preserve">  All add'l kWh</t>
  </si>
  <si>
    <t>Total On Season</t>
  </si>
  <si>
    <t xml:space="preserve">  Post Season</t>
  </si>
  <si>
    <t xml:space="preserve">   Customers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</si>
  <si>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</si>
  <si>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</si>
  <si>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</si>
  <si>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</si>
  <si>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</si>
  <si>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</si>
  <si>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</si>
  <si>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 xml:space="preserve"> </t>
  </si>
  <si>
    <t>Schedule No. 11 - Street Lighting - Company-Owned System</t>
  </si>
  <si>
    <t xml:space="preserve">  Sodium Vapor Lamps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</si>
  <si>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</si>
  <si>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</si>
  <si>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</si>
  <si>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</si>
  <si>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</si>
  <si>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</si>
  <si>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</si>
  <si>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</si>
  <si>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</si>
  <si>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</si>
  <si>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</si>
  <si>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</si>
  <si>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</si>
  <si>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</si>
  <si>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</si>
  <si>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</si>
  <si>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</si>
  <si>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</si>
  <si>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</si>
  <si>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</si>
  <si>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</si>
  <si>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</si>
  <si>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</si>
  <si>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</si>
  <si>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</si>
  <si>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</si>
  <si>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</si>
  <si>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Mercury Vapor Lamps (No New Service)</t>
  </si>
  <si>
    <t xml:space="preserve">   4,000 Lumen</t>
  </si>
  <si>
    <t xml:space="preserve">   10,000 Lumen</t>
  </si>
  <si>
    <t xml:space="preserve">   10,000 Lumen @ 90%</t>
  </si>
  <si>
    <t xml:space="preserve">  Incandescent Lamps (No New Service)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</si>
  <si>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</si>
  <si>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</si>
  <si>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</si>
  <si>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</si>
  <si>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Fluorescent Lamps (No New Service)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</si>
  <si>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</si>
  <si>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</si>
  <si>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</si>
  <si>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</si>
  <si>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</si>
  <si>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</si>
  <si>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</si>
  <si>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</si>
  <si>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</si>
  <si>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</si>
  <si>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</si>
  <si>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</si>
  <si>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</si>
  <si>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</si>
  <si>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</si>
  <si>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</si>
  <si>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</si>
  <si>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</si>
  <si>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</si>
  <si>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2a - Partial Maintenance (No New Service)</t>
  </si>
  <si>
    <t xml:space="preserve">  Incandescent Lamps</t>
  </si>
  <si>
    <t xml:space="preserve">   2,500 Lumen or Less</t>
  </si>
  <si>
    <t xml:space="preserve">   2,500 Lumen or Less @ 85%</t>
  </si>
  <si>
    <t xml:space="preserve">  Mercury Vapor Lamps</t>
  </si>
  <si>
    <t xml:space="preserve">   54,000 Lumen</t>
  </si>
  <si>
    <t xml:space="preserve">  High Pressure Sodium Vapor Lamps</t>
  </si>
  <si>
    <t xml:space="preserve">   9,500 Lumen @ 85%</t>
  </si>
  <si>
    <t xml:space="preserve">   9,500 Lumen - Decorative</t>
  </si>
  <si>
    <t xml:space="preserve">   16,000 Lumen @ 85%</t>
  </si>
  <si>
    <t xml:space="preserve">   16,000 Lumen - Decorative</t>
  </si>
  <si>
    <t xml:space="preserve">   22,000 Lumen </t>
  </si>
  <si>
    <t xml:space="preserve">   27,500 Lumen @ 85%</t>
  </si>
  <si>
    <t xml:space="preserve">   27,500 Lumen - Decorative</t>
  </si>
  <si>
    <t xml:space="preserve">   50,000 Lumen @ 85%</t>
  </si>
  <si>
    <t xml:space="preserve">   50,000 Lumen - Decorative</t>
  </si>
  <si>
    <t xml:space="preserve">   9,000 Lumen - Decorative</t>
  </si>
  <si>
    <t xml:space="preserve">   12,000 Lumen @ 85%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</si>
  <si>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</si>
  <si>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</si>
  <si>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</si>
  <si>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</si>
  <si>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</si>
  <si>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</si>
  <si>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</si>
  <si>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9,500 Lumen @ 90%</t>
  </si>
  <si>
    <t xml:space="preserve">   16,000 Lumen @ 90%</t>
  </si>
  <si>
    <t xml:space="preserve">   50,000 Lumen @ 90%</t>
  </si>
  <si>
    <t xml:space="preserve">   107,000 Lumen </t>
  </si>
  <si>
    <t>kWh Street Lighting</t>
  </si>
  <si>
    <t>Schedule 15.1 - Metered Outdoor Nighttime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</si>
  <si>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</si>
  <si>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</si>
  <si>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</si>
  <si>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</si>
  <si>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</si>
  <si>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</si>
  <si>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>Schedule 15.2 - Traffic Signal Systems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</si>
  <si>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</si>
  <si>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</si>
  <si>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</si>
  <si>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</si>
  <si>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</si>
  <si>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</si>
  <si>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</si>
  <si>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Schedule No. 23 - Distribution Voltage - Small Customer - Composite</t>
  </si>
  <si>
    <t>Adj (Sch 23)</t>
  </si>
  <si>
    <t>Adj (Sch 6)</t>
  </si>
  <si>
    <t>Table A</t>
  </si>
  <si>
    <t>Schedule No. 23 - Distribution Voltage - Small Customer - Commercial</t>
  </si>
  <si>
    <t>Schedule No. 23 - Distribution Voltage - Small Customer - Industrial</t>
  </si>
  <si>
    <t>Schedule No. 23 - Distribution Voltage - Small Customer - OSPA</t>
  </si>
  <si>
    <t>Schedule No.31 - Back-Up, Maintenance, and Supplementary Power - Commercial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</si>
  <si>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</si>
  <si>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</si>
  <si>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</si>
  <si>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</si>
  <si>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</si>
  <si>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</si>
  <si>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>Non-Sup Change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</si>
  <si>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</si>
  <si>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</si>
  <si>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</si>
  <si>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</si>
  <si>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6</t>
  </si>
  <si>
    <t xml:space="preserve">  Schedule 8</t>
  </si>
  <si>
    <t xml:space="preserve">  Schedule 9</t>
  </si>
  <si>
    <t xml:space="preserve">  Total (Aggregated)</t>
  </si>
  <si>
    <t xml:space="preserve">  Schedule 40 (Aggregated)</t>
  </si>
  <si>
    <t xml:space="preserve">  DSM (Aggregated)</t>
  </si>
  <si>
    <t>Schedule No. 31 - Back-Up, Maintenance, and Supplementary Power - Industrial</t>
  </si>
  <si>
    <t>SPCL0001</t>
  </si>
  <si>
    <t xml:space="preserve">  kW High Load Hours</t>
  </si>
  <si>
    <t xml:space="preserve">  kW Low Load Hours</t>
  </si>
  <si>
    <t xml:space="preserve">  kWh High Load Hours</t>
  </si>
  <si>
    <t xml:space="preserve">  kWh Low Load Hours</t>
  </si>
  <si>
    <t>SPCL0002</t>
  </si>
  <si>
    <t xml:space="preserve">  Non-firm kWh</t>
  </si>
  <si>
    <t>SPCL0003 - Billed Under Sch 31/9</t>
  </si>
  <si>
    <t>Sch 40 Ratio</t>
  </si>
  <si>
    <t>Kennecott</t>
  </si>
  <si>
    <t xml:space="preserve">  kW Back-Up</t>
  </si>
  <si>
    <t>Praxair</t>
  </si>
  <si>
    <t>Sch 9</t>
  </si>
  <si>
    <t>Load Factor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</si>
  <si>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</si>
  <si>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</si>
  <si>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</si>
  <si>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</si>
  <si>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</si>
  <si>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</si>
  <si>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</si>
  <si>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</si>
  <si>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</si>
  <si>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SPCL0005 - Billed Under Sch 9</t>
  </si>
  <si>
    <t>Rate No. 77 - Security Lighting, 08THIK0077</t>
  </si>
  <si>
    <t xml:space="preserve">  Customer</t>
  </si>
  <si>
    <t xml:space="preserve">  20,000 Mercury Vapor</t>
  </si>
  <si>
    <t xml:space="preserve">  50,000 Lumen</t>
  </si>
  <si>
    <t>Lighting Contract - Post Top Lighting - 08PTLD000N/08PTLD000R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</si>
  <si>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</si>
  <si>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</si>
  <si>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</si>
  <si>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</si>
  <si>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</si>
  <si>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</si>
  <si>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</si>
  <si>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</si>
  <si>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</si>
  <si>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</si>
  <si>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Interdepartmental</t>
  </si>
  <si>
    <t xml:space="preserve">  Total AGA</t>
  </si>
  <si>
    <t>TOTAL - ALL CLASSES</t>
  </si>
  <si>
    <t xml:space="preserve">    Schedule 40</t>
  </si>
  <si>
    <t>TOTAL - Including Schedule 40</t>
  </si>
  <si>
    <t>Table  A</t>
  </si>
  <si>
    <t>Rocky Mountain Power</t>
  </si>
  <si>
    <t>Estimated Effect of Proposed Changes</t>
  </si>
  <si>
    <t>on Revenues from Electric Sales to Ultimate Consumers in Utah</t>
  </si>
  <si>
    <t>Pre.</t>
  </si>
  <si>
    <t>Pro.</t>
  </si>
  <si>
    <t>No. of</t>
  </si>
  <si>
    <t>Proposed GRC</t>
  </si>
  <si>
    <t>Line</t>
  </si>
  <si>
    <t>Sch</t>
  </si>
  <si>
    <t>MWh</t>
  </si>
  <si>
    <t>Rev</t>
  </si>
  <si>
    <t>Change</t>
  </si>
  <si>
    <t xml:space="preserve">Avg </t>
  </si>
  <si>
    <t>Proposed REC</t>
  </si>
  <si>
    <t>Net</t>
  </si>
  <si>
    <t>No.</t>
  </si>
  <si>
    <t>Description</t>
  </si>
  <si>
    <t>Forecast</t>
  </si>
  <si>
    <t>($000)</t>
  </si>
  <si>
    <t>(%)</t>
  </si>
  <si>
    <t>¢/kWh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</si>
  <si>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</si>
  <si>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</si>
  <si>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</si>
  <si>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</si>
  <si>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</si>
  <si>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</si>
  <si>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</si>
  <si>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</si>
  <si>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</si>
  <si>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</si>
  <si>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</si>
  <si>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</si>
  <si>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</si>
  <si>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</si>
  <si>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</si>
  <si>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</si>
  <si>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</si>
  <si>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</si>
  <si>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</si>
  <si>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</si>
  <si>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</si>
  <si>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</si>
  <si>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</si>
  <si>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</si>
  <si>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</si>
  <si>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Contract 1</t>
  </si>
  <si>
    <t>Contract 2</t>
  </si>
  <si>
    <t>Contract 3</t>
  </si>
  <si>
    <t>Contract 4</t>
  </si>
  <si>
    <t>Total Commercial &amp; Industrial &amp; OSPA</t>
  </si>
  <si>
    <t>Total Commercial &amp; Industrial 
(excluding Contracts 1, 2, AGA)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</si>
  <si>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</si>
  <si>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</si>
  <si>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</si>
  <si>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</si>
  <si>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</si>
  <si>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</si>
  <si>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</si>
  <si>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</si>
  <si>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Street Lighting-Contract (77)</t>
  </si>
  <si>
    <t>Total Public Street Lighting</t>
  </si>
  <si>
    <t>Total Sales to Ultimate Customers</t>
  </si>
  <si>
    <t>Total Sales to Ultimate Customers 
(excluding Contracts 1, 2, AGA)</t>
  </si>
  <si>
    <t>Estimated Impact for Proposed Utah Settlement</t>
  </si>
  <si>
    <t>Including Proposed Changes in GRC and REC</t>
  </si>
  <si>
    <t>GRC</t>
  </si>
  <si>
    <t>Stipulated</t>
  </si>
  <si>
    <t>Present Rev</t>
  </si>
  <si>
    <t>Change*</t>
  </si>
  <si>
    <t>RR Increase</t>
  </si>
  <si>
    <t>REC Credit</t>
  </si>
  <si>
    <t>Customer Class</t>
  </si>
  <si>
    <t>%</t>
  </si>
  <si>
    <t>Effective amount</t>
  </si>
  <si>
    <t>Residential (Schs. 1, 2, 3)</t>
  </si>
  <si>
    <t>General Service (Schs. 6, 6A, 6B)</t>
  </si>
  <si>
    <t>Effective days</t>
  </si>
  <si>
    <t>General Service &gt; 1 MW (Sch. 8)</t>
  </si>
  <si>
    <t>Lighting (Schs. 7,11,12)</t>
  </si>
  <si>
    <t>Annual</t>
  </si>
  <si>
    <t>General Service - High Voltage (Schs. 9, 9A)</t>
  </si>
  <si>
    <t>Irrigation (Schs. 10, 10 TOD)</t>
  </si>
  <si>
    <t>Metered Outdoor Lighting (Sch. 15)</t>
  </si>
  <si>
    <t>Traffic Signals (Sch. 15)</t>
  </si>
  <si>
    <t>Electric Furnace (Sch. 21)</t>
  </si>
  <si>
    <t>General Service - Small (Sch. 23)</t>
  </si>
  <si>
    <t>Back-Up, Maint., &amp; Suppl. Service (Sch. 31)</t>
  </si>
  <si>
    <t>Security Area Lighting Contracts (PTL)</t>
  </si>
  <si>
    <t>Street Lighting Contracts (77)</t>
  </si>
  <si>
    <t>Contract Customer 1</t>
  </si>
  <si>
    <t>Contract Customer 2</t>
  </si>
  <si>
    <t>Contract Customer 3**</t>
  </si>
  <si>
    <t>Contract Customer 4**</t>
  </si>
  <si>
    <t>Total Utah</t>
  </si>
  <si>
    <t>Total Utah (excl. Customer 1, 2, &amp; AGA)</t>
  </si>
  <si>
    <t xml:space="preserve">*Effective September 21, 2011 through May 31, 2012.  </t>
  </si>
  <si>
    <t>** The actual change will be based on the terms of the contract.</t>
  </si>
  <si>
    <t>Sch 40</t>
  </si>
  <si>
    <t>Historical Test Period 12 Months Ending June 2010</t>
  </si>
  <si>
    <t>Forecast Test Period 12 Months Ending June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</si>
</sst>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#,##0.000_);\(#,##0.000\)"/>
    <numFmt numFmtId="167" formatCode="0.0%"/>
    <numFmt numFmtId="168" formatCode="0.0000_);[Red]\(0.0000\)"/>
    <numFmt numFmtId="169" formatCode="0.0000_)"/>
    <numFmt numFmtId="170" formatCode="#,##0.0000"/>
    <numFmt numFmtId="171" formatCode="#,##0.00000_);\(#,##0.00000\)"/>
    <numFmt numFmtId="172" formatCode="0.000000000000%"/>
    <numFmt numFmtId="173" formatCode="#,##0.0000_);\(#,##0.0000\)"/>
    <numFmt numFmtId="174" formatCode="_(* #,##0.0000_);_(* \(#,##0.0000\);_(* &quot;-&quot;??_);_(@_)"/>
    <numFmt numFmtId="175" formatCode="_(* #,##0_);_(* \(#,##0\);_(* &quot;-&quot;??_);_(@_)"/>
    <numFmt numFmtId="176" formatCode="0.0000"/>
    <numFmt numFmtId="177" formatCode="0.000%"/>
    <numFmt numFmtId="178" formatCode="0.0"/>
    <numFmt numFmtId="179" formatCode="#,##0.0_);\(#,##0.0\)"/>
    <numFmt numFmtId="180" formatCode="&quot;$&quot;#,##0.0000_);\(&quot;$&quot;#,##0.0000\)"/>
    <numFmt numFmtId="181" formatCode="_(&quot;$&quot;* #,##0_);_(&quot;$&quot;* \(#,##0\);_(&quot;$&quot;* &quot;-&quot;??_);_(@_)"/>
    <numFmt numFmtId="182" formatCode="&quot;$&quot;#,##0.00"/>
  </numFmts>
  <fonts count="33">
    <font>
      <sz val="12"/>
      <name val="Times New Roman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FF0000"/>
      <name val="Times New Roman"/>
      <family val="1"/>
    </font>
    <font>
      <sz val="12"/>
      <name val="Symbol"/>
      <family val="1"/>
      <charset val="2"/>
    </font>
    <font>
      <sz val="12"/>
      <color rgb="FF0000FF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Times New Roman"/>
      <family val="1"/>
    </font>
    <font>
      <i/>
      <u/>
      <sz val="12"/>
      <color indexed="8"/>
      <name val="Times New Roman"/>
      <family val="1"/>
    </font>
    <font>
      <sz val="12"/>
      <color indexed="81"/>
      <name val="Tahoma"/>
      <family val="2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indexed="8"/>
      <name val="Times New Roman"/>
      <family val="1"/>
    </font>
    <font>
      <sz val="7"/>
      <name val="Arial"/>
      <family val="2"/>
    </font>
    <font>
      <sz val="10"/>
      <name val="SWISS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sz val="12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2" fillId="0" borderId="0"/>
    <xf numFmtId="0" fontId="15" fillId="0" borderId="0"/>
    <xf numFmtId="164" fontId="2" fillId="0" borderId="0"/>
    <xf numFmtId="0" fontId="21" fillId="0" borderId="0"/>
    <xf numFmtId="0" fontId="2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175" fontId="8" fillId="0" borderId="0" applyFont="0" applyAlignment="0" applyProtection="0"/>
    <xf numFmtId="0" fontId="7" fillId="0" borderId="0">
      <alignment wrapText="1"/>
    </xf>
    <xf numFmtId="41" fontId="25" fillId="0" borderId="0" applyFont="0" applyFill="0" applyBorder="0" applyAlignment="0" applyProtection="0"/>
    <xf numFmtId="182" fontId="26" fillId="0" borderId="0"/>
    <xf numFmtId="0" fontId="27" fillId="0" borderId="0"/>
    <xf numFmtId="0" fontId="21" fillId="0" borderId="0"/>
    <xf numFmtId="0" fontId="2" fillId="0" borderId="0"/>
    <xf numFmtId="0" fontId="7" fillId="0" borderId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29" fillId="0" borderId="0">
      <alignment horizontal="left"/>
    </xf>
  </cellStyleXfs>
  <cellXfs count="493">
    <xf numFmtId="0" fontId="0" fillId="0" borderId="0" xfId="0"/>
    <xf numFmtId="3" fontId="1" fillId="0" borderId="0" xfId="0" applyNumberFormat="1" applyFont="1" applyAlignment="1">
      <alignment horizontal="centerContinuous"/>
    </xf>
    <xf numFmtId="164" fontId="3" fillId="0" borderId="0" xfId="4" applyNumberFormat="1" applyFont="1" applyFill="1" applyAlignment="1">
      <alignment horizontal="centerContinuous"/>
    </xf>
    <xf numFmtId="164" fontId="3" fillId="0" borderId="0" xfId="4" applyNumberFormat="1" applyFont="1" applyFill="1" applyBorder="1" applyAlignment="1">
      <alignment horizontal="centerContinuous"/>
    </xf>
    <xf numFmtId="164" fontId="2" fillId="0" borderId="0" xfId="4" applyNumberFormat="1" applyFill="1" applyAlignment="1">
      <alignment horizontal="centerContinuous"/>
    </xf>
    <xf numFmtId="10" fontId="3" fillId="0" borderId="0" xfId="4" applyNumberFormat="1" applyFont="1" applyFill="1" applyAlignment="1">
      <alignment horizontal="centerContinuous"/>
    </xf>
    <xf numFmtId="5" fontId="2" fillId="0" borderId="0" xfId="4" applyNumberFormat="1" applyFill="1" applyAlignment="1">
      <alignment horizontal="centerContinuous"/>
    </xf>
    <xf numFmtId="164" fontId="3" fillId="0" borderId="0" xfId="4" applyNumberFormat="1" applyFont="1" applyFill="1" applyBorder="1" applyAlignment="1">
      <alignment horizontal="center"/>
    </xf>
    <xf numFmtId="164" fontId="4" fillId="0" borderId="0" xfId="4" applyNumberFormat="1" applyFont="1" applyFill="1" applyBorder="1" applyAlignment="1">
      <alignment horizontal="right"/>
    </xf>
    <xf numFmtId="9" fontId="4" fillId="0" borderId="0" xfId="4" applyNumberFormat="1" applyFont="1" applyBorder="1" applyAlignment="1">
      <alignment horizontal="right"/>
    </xf>
    <xf numFmtId="164" fontId="2" fillId="0" borderId="0" xfId="4" applyNumberFormat="1" applyAlignment="1">
      <alignment horizontal="centerContinuous"/>
    </xf>
    <xf numFmtId="164" fontId="2" fillId="0" borderId="0" xfId="4" applyNumberFormat="1"/>
    <xf numFmtId="164" fontId="4" fillId="0" borderId="0" xfId="4" applyNumberFormat="1" applyFont="1" applyFill="1" applyBorder="1" applyAlignment="1">
      <alignment horizontal="center"/>
    </xf>
    <xf numFmtId="164" fontId="4" fillId="0" borderId="0" xfId="4" applyNumberFormat="1" applyFont="1" applyFill="1" applyBorder="1" applyAlignment="1">
      <alignment horizontal="left"/>
    </xf>
    <xf numFmtId="165" fontId="4" fillId="0" borderId="0" xfId="4" applyNumberFormat="1" applyFont="1" applyBorder="1" applyAlignment="1">
      <alignment horizontal="right"/>
    </xf>
    <xf numFmtId="164" fontId="5" fillId="0" borderId="0" xfId="4" applyNumberFormat="1" applyFont="1" applyFill="1"/>
    <xf numFmtId="164" fontId="2" fillId="0" borderId="0" xfId="4" applyNumberFormat="1" applyFill="1"/>
    <xf numFmtId="164" fontId="2" fillId="0" borderId="0" xfId="4" applyNumberFormat="1" applyFill="1" applyBorder="1"/>
    <xf numFmtId="10" fontId="2" fillId="0" borderId="0" xfId="4" applyNumberFormat="1" applyFill="1"/>
    <xf numFmtId="5" fontId="2" fillId="0" borderId="0" xfId="4" applyNumberFormat="1" applyFill="1"/>
    <xf numFmtId="164" fontId="4" fillId="0" borderId="0" xfId="4" applyNumberFormat="1" applyFont="1" applyFill="1" applyBorder="1"/>
    <xf numFmtId="165" fontId="4" fillId="0" borderId="0" xfId="4" applyNumberFormat="1" applyFont="1" applyBorder="1"/>
    <xf numFmtId="164" fontId="4" fillId="0" borderId="0" xfId="4" applyNumberFormat="1" applyFont="1" applyFill="1" applyAlignment="1">
      <alignment horizontal="center"/>
    </xf>
    <xf numFmtId="5" fontId="4" fillId="0" borderId="0" xfId="4" applyNumberFormat="1" applyFont="1" applyFill="1" applyAlignment="1">
      <alignment horizontal="center"/>
    </xf>
    <xf numFmtId="164" fontId="4" fillId="0" borderId="1" xfId="4" applyNumberFormat="1" applyFont="1" applyFill="1" applyBorder="1" applyAlignment="1">
      <alignment horizontal="centerContinuous"/>
    </xf>
    <xf numFmtId="10" fontId="4" fillId="0" borderId="1" xfId="4" applyNumberFormat="1" applyFont="1" applyFill="1" applyBorder="1" applyAlignment="1">
      <alignment horizontal="centerContinuous"/>
    </xf>
    <xf numFmtId="5" fontId="4" fillId="0" borderId="1" xfId="4" applyNumberFormat="1" applyFont="1" applyFill="1" applyBorder="1" applyAlignment="1">
      <alignment horizontal="centerContinuous"/>
    </xf>
    <xf numFmtId="164" fontId="2" fillId="0" borderId="0" xfId="4" applyNumberFormat="1" applyFont="1" applyFill="1"/>
    <xf numFmtId="5" fontId="2" fillId="0" borderId="0" xfId="4" applyNumberFormat="1" applyFill="1" applyProtection="1"/>
    <xf numFmtId="10" fontId="4" fillId="0" borderId="0" xfId="4" applyNumberFormat="1" applyFont="1" applyFill="1" applyAlignment="1">
      <alignment horizontal="center"/>
    </xf>
    <xf numFmtId="10" fontId="2" fillId="0" borderId="0" xfId="4" quotePrefix="1" applyNumberFormat="1" applyFont="1" applyFill="1"/>
    <xf numFmtId="164" fontId="4" fillId="0" borderId="2" xfId="4" applyNumberFormat="1" applyFont="1" applyFill="1" applyBorder="1" applyAlignment="1">
      <alignment horizontal="center"/>
    </xf>
    <xf numFmtId="10" fontId="4" fillId="0" borderId="2" xfId="4" applyNumberFormat="1" applyFont="1" applyFill="1" applyBorder="1" applyAlignment="1">
      <alignment horizontal="center"/>
    </xf>
    <xf numFmtId="5" fontId="4" fillId="0" borderId="2" xfId="4" applyNumberFormat="1" applyFont="1" applyFill="1" applyBorder="1" applyAlignment="1">
      <alignment horizontal="center"/>
    </xf>
    <xf numFmtId="10" fontId="8" fillId="0" borderId="0" xfId="3" quotePrefix="1" applyNumberFormat="1" applyFont="1" applyFill="1"/>
    <xf numFmtId="37" fontId="8" fillId="0" borderId="0" xfId="4" applyNumberFormat="1" applyFont="1" applyFill="1" applyProtection="1">
      <protection locked="0"/>
    </xf>
    <xf numFmtId="10" fontId="8" fillId="0" borderId="0" xfId="3" applyNumberFormat="1" applyFont="1" applyFill="1"/>
    <xf numFmtId="164" fontId="6" fillId="0" borderId="0" xfId="4" applyNumberFormat="1" applyFont="1" applyFill="1" applyAlignment="1">
      <alignment horizontal="left"/>
    </xf>
    <xf numFmtId="164" fontId="2" fillId="0" borderId="0" xfId="4" applyNumberFormat="1" applyFont="1" applyBorder="1"/>
    <xf numFmtId="164" fontId="2" fillId="0" borderId="0" xfId="4" applyNumberFormat="1" applyBorder="1"/>
    <xf numFmtId="164" fontId="5" fillId="0" borderId="0" xfId="4" applyNumberFormat="1" applyFont="1" applyFill="1" applyAlignment="1">
      <alignment horizontal="left"/>
    </xf>
    <xf numFmtId="7" fontId="5" fillId="0" borderId="0" xfId="4" applyNumberFormat="1" applyFont="1" applyFill="1" applyProtection="1">
      <protection locked="0"/>
    </xf>
    <xf numFmtId="7" fontId="8" fillId="0" borderId="0" xfId="4" applyNumberFormat="1" applyFont="1" applyFill="1" applyBorder="1" applyProtection="1">
      <protection locked="0"/>
    </xf>
    <xf numFmtId="7" fontId="8" fillId="0" borderId="0" xfId="4" applyNumberFormat="1" applyFont="1" applyFill="1" applyProtection="1">
      <protection locked="0"/>
    </xf>
    <xf numFmtId="10" fontId="8" fillId="0" borderId="0" xfId="4" applyNumberFormat="1" applyFont="1" applyFill="1" applyProtection="1">
      <protection locked="0"/>
    </xf>
    <xf numFmtId="167" fontId="2" fillId="0" borderId="0" xfId="3" applyNumberFormat="1" applyFont="1" applyBorder="1"/>
    <xf numFmtId="37" fontId="8" fillId="0" borderId="0" xfId="4" applyNumberFormat="1" applyFont="1" applyFill="1" applyBorder="1" applyProtection="1"/>
    <xf numFmtId="168" fontId="5" fillId="0" borderId="0" xfId="4" applyNumberFormat="1" applyFont="1" applyFill="1" applyProtection="1">
      <protection locked="0"/>
    </xf>
    <xf numFmtId="0" fontId="0" fillId="0" borderId="0" xfId="0" applyBorder="1"/>
    <xf numFmtId="10" fontId="2" fillId="0" borderId="0" xfId="3" applyNumberFormat="1" applyFont="1" applyBorder="1"/>
    <xf numFmtId="164" fontId="2" fillId="0" borderId="3" xfId="4" applyNumberFormat="1" applyFont="1" applyFill="1" applyBorder="1"/>
    <xf numFmtId="164" fontId="2" fillId="0" borderId="4" xfId="4" applyNumberFormat="1" applyBorder="1"/>
    <xf numFmtId="164" fontId="2" fillId="0" borderId="5" xfId="4" applyNumberFormat="1" applyFont="1" applyBorder="1"/>
    <xf numFmtId="164" fontId="2" fillId="0" borderId="0" xfId="4" applyNumberFormat="1" applyBorder="1" applyAlignment="1">
      <alignment horizontal="centerContinuous"/>
    </xf>
    <xf numFmtId="9" fontId="2" fillId="0" borderId="0" xfId="3" applyFont="1" applyBorder="1" applyAlignment="1">
      <alignment horizontal="centerContinuous"/>
    </xf>
    <xf numFmtId="164" fontId="2" fillId="0" borderId="6" xfId="4" applyNumberFormat="1" applyFont="1" applyBorder="1"/>
    <xf numFmtId="5" fontId="2" fillId="0" borderId="7" xfId="4" applyNumberFormat="1" applyFill="1" applyBorder="1" applyProtection="1"/>
    <xf numFmtId="5" fontId="2" fillId="0" borderId="8" xfId="4" applyNumberFormat="1" applyFill="1" applyBorder="1" applyProtection="1"/>
    <xf numFmtId="164" fontId="2" fillId="0" borderId="0" xfId="4" applyNumberFormat="1" applyFont="1" applyBorder="1" applyAlignment="1">
      <alignment horizontal="centerContinuous"/>
    </xf>
    <xf numFmtId="9" fontId="2" fillId="0" borderId="0" xfId="3" applyFont="1" applyBorder="1" applyAlignment="1">
      <alignment horizontal="center"/>
    </xf>
    <xf numFmtId="164" fontId="2" fillId="0" borderId="9" xfId="4" applyNumberFormat="1" applyFont="1" applyBorder="1"/>
    <xf numFmtId="167" fontId="2" fillId="0" borderId="0" xfId="4" applyNumberFormat="1" applyBorder="1"/>
    <xf numFmtId="169" fontId="5" fillId="0" borderId="0" xfId="4" applyNumberFormat="1" applyFont="1" applyFill="1" applyProtection="1">
      <protection locked="0"/>
    </xf>
    <xf numFmtId="169" fontId="9" fillId="0" borderId="0" xfId="4" applyNumberFormat="1" applyFont="1" applyFill="1" applyProtection="1">
      <protection locked="0"/>
    </xf>
    <xf numFmtId="164" fontId="10" fillId="0" borderId="10" xfId="4" applyNumberFormat="1" applyFont="1" applyBorder="1"/>
    <xf numFmtId="5" fontId="2" fillId="0" borderId="11" xfId="4" applyNumberFormat="1" applyFill="1" applyBorder="1" applyProtection="1"/>
    <xf numFmtId="167" fontId="0" fillId="0" borderId="0" xfId="0" applyNumberFormat="1" applyBorder="1"/>
    <xf numFmtId="7" fontId="11" fillId="0" borderId="0" xfId="4" applyNumberFormat="1" applyFont="1" applyFill="1" applyProtection="1">
      <protection locked="0"/>
    </xf>
    <xf numFmtId="10" fontId="11" fillId="0" borderId="0" xfId="4" applyNumberFormat="1" applyFont="1" applyFill="1" applyProtection="1">
      <protection locked="0"/>
    </xf>
    <xf numFmtId="164" fontId="2" fillId="0" borderId="6" xfId="4" applyNumberFormat="1" applyFont="1" applyFill="1" applyBorder="1"/>
    <xf numFmtId="167" fontId="2" fillId="0" borderId="7" xfId="4" applyNumberFormat="1" applyBorder="1"/>
    <xf numFmtId="7" fontId="2" fillId="0" borderId="0" xfId="4" applyNumberFormat="1" applyFont="1" applyFill="1" applyBorder="1" applyProtection="1"/>
    <xf numFmtId="7" fontId="11" fillId="0" borderId="0" xfId="4" applyNumberFormat="1" applyFont="1" applyFill="1" applyProtection="1"/>
    <xf numFmtId="10" fontId="11" fillId="0" borderId="0" xfId="4" applyNumberFormat="1" applyFont="1" applyFill="1" applyProtection="1"/>
    <xf numFmtId="164" fontId="2" fillId="0" borderId="9" xfId="4" applyNumberFormat="1" applyFont="1" applyFill="1" applyBorder="1"/>
    <xf numFmtId="167" fontId="2" fillId="0" borderId="8" xfId="4" applyNumberFormat="1" applyBorder="1"/>
    <xf numFmtId="167" fontId="2" fillId="0" borderId="0" xfId="4" applyNumberFormat="1" applyFont="1" applyBorder="1"/>
    <xf numFmtId="7" fontId="8" fillId="0" borderId="0" xfId="4" applyNumberFormat="1" applyFont="1" applyFill="1" applyBorder="1" applyProtection="1"/>
    <xf numFmtId="7" fontId="5" fillId="0" borderId="0" xfId="4" applyNumberFormat="1" applyFont="1" applyFill="1" applyProtection="1"/>
    <xf numFmtId="5" fontId="2" fillId="0" borderId="0" xfId="4" applyNumberFormat="1" applyFill="1" applyBorder="1" applyProtection="1"/>
    <xf numFmtId="10" fontId="5" fillId="0" borderId="0" xfId="4" applyNumberFormat="1" applyFont="1" applyFill="1" applyProtection="1"/>
    <xf numFmtId="167" fontId="12" fillId="0" borderId="8" xfId="1" applyNumberFormat="1" applyFont="1" applyBorder="1"/>
    <xf numFmtId="164" fontId="5" fillId="0" borderId="0" xfId="4" applyNumberFormat="1" applyFont="1" applyFill="1" applyBorder="1" applyAlignment="1">
      <alignment horizontal="left"/>
    </xf>
    <xf numFmtId="10" fontId="5" fillId="0" borderId="0" xfId="4" applyNumberFormat="1" applyFont="1" applyFill="1" applyProtection="1">
      <protection locked="0"/>
    </xf>
    <xf numFmtId="9" fontId="2" fillId="0" borderId="8" xfId="4" applyNumberFormat="1" applyBorder="1"/>
    <xf numFmtId="164" fontId="2" fillId="0" borderId="0" xfId="4" applyNumberFormat="1" applyFont="1" applyFill="1" applyBorder="1"/>
    <xf numFmtId="164" fontId="2" fillId="0" borderId="0" xfId="4" applyNumberFormat="1" applyFont="1"/>
    <xf numFmtId="3" fontId="0" fillId="0" borderId="7" xfId="0" applyNumberFormat="1" applyBorder="1"/>
    <xf numFmtId="3" fontId="0" fillId="0" borderId="8" xfId="0" applyNumberFormat="1" applyBorder="1"/>
    <xf numFmtId="5" fontId="2" fillId="0" borderId="2" xfId="4" applyNumberFormat="1" applyFill="1" applyBorder="1" applyProtection="1"/>
    <xf numFmtId="5" fontId="8" fillId="0" borderId="2" xfId="4" applyNumberFormat="1" applyFont="1" applyFill="1" applyBorder="1" applyProtection="1"/>
    <xf numFmtId="164" fontId="2" fillId="0" borderId="10" xfId="4" applyNumberFormat="1" applyFont="1" applyFill="1" applyBorder="1"/>
    <xf numFmtId="3" fontId="0" fillId="0" borderId="11" xfId="0" applyNumberFormat="1" applyBorder="1"/>
    <xf numFmtId="164" fontId="5" fillId="0" borderId="12" xfId="4" applyNumberFormat="1" applyFont="1" applyFill="1" applyBorder="1"/>
    <xf numFmtId="5" fontId="2" fillId="0" borderId="12" xfId="4" applyNumberFormat="1" applyFill="1" applyBorder="1" applyProtection="1"/>
    <xf numFmtId="164" fontId="2" fillId="0" borderId="12" xfId="4" applyNumberFormat="1" applyFill="1" applyBorder="1"/>
    <xf numFmtId="10" fontId="2" fillId="0" borderId="12" xfId="4" applyNumberFormat="1" applyFill="1" applyBorder="1"/>
    <xf numFmtId="170" fontId="8" fillId="0" borderId="11" xfId="4" applyNumberFormat="1" applyFont="1" applyBorder="1"/>
    <xf numFmtId="10" fontId="5" fillId="0" borderId="0" xfId="3" applyNumberFormat="1" applyFont="1" applyFill="1"/>
    <xf numFmtId="10" fontId="8" fillId="0" borderId="0" xfId="3" applyNumberFormat="1" applyFont="1" applyFill="1" applyBorder="1"/>
    <xf numFmtId="7" fontId="2" fillId="0" borderId="0" xfId="4" applyNumberFormat="1" applyFont="1" applyFill="1" applyBorder="1" applyProtection="1">
      <protection locked="0"/>
    </xf>
    <xf numFmtId="7" fontId="2" fillId="0" borderId="0" xfId="4" applyNumberFormat="1" applyFont="1" applyFill="1" applyProtection="1">
      <protection locked="0"/>
    </xf>
    <xf numFmtId="10" fontId="2" fillId="0" borderId="0" xfId="4" applyNumberFormat="1" applyFont="1" applyFill="1" applyProtection="1">
      <protection locked="0"/>
    </xf>
    <xf numFmtId="169" fontId="2" fillId="0" borderId="0" xfId="4" applyNumberFormat="1" applyFont="1" applyFill="1" applyProtection="1">
      <protection locked="0"/>
    </xf>
    <xf numFmtId="167" fontId="8" fillId="0" borderId="0" xfId="4" applyNumberFormat="1" applyFont="1" applyBorder="1"/>
    <xf numFmtId="164" fontId="5" fillId="0" borderId="0" xfId="4" applyNumberFormat="1" applyFont="1" applyFill="1" applyBorder="1"/>
    <xf numFmtId="169" fontId="2" fillId="0" borderId="0" xfId="4" applyNumberFormat="1" applyFont="1" applyFill="1" applyBorder="1" applyProtection="1">
      <protection locked="0"/>
    </xf>
    <xf numFmtId="10" fontId="2" fillId="0" borderId="0" xfId="4" applyNumberFormat="1" applyFont="1" applyFill="1" applyBorder="1" applyProtection="1">
      <protection locked="0"/>
    </xf>
    <xf numFmtId="10" fontId="2" fillId="0" borderId="0" xfId="4" applyNumberFormat="1"/>
    <xf numFmtId="3" fontId="0" fillId="0" borderId="0" xfId="0" applyNumberFormat="1"/>
    <xf numFmtId="173" fontId="5" fillId="0" borderId="0" xfId="4" applyNumberFormat="1" applyFont="1" applyFill="1" applyProtection="1">
      <protection locked="0"/>
    </xf>
    <xf numFmtId="173" fontId="8" fillId="0" borderId="0" xfId="4" applyNumberFormat="1" applyFont="1" applyFill="1" applyProtection="1">
      <protection locked="0"/>
    </xf>
    <xf numFmtId="10" fontId="2" fillId="0" borderId="0" xfId="3" applyNumberFormat="1" applyFont="1"/>
    <xf numFmtId="164" fontId="5" fillId="0" borderId="13" xfId="4" applyNumberFormat="1" applyFont="1" applyFill="1" applyBorder="1"/>
    <xf numFmtId="5" fontId="2" fillId="0" borderId="13" xfId="4" applyNumberFormat="1" applyFill="1" applyBorder="1" applyProtection="1"/>
    <xf numFmtId="164" fontId="2" fillId="0" borderId="13" xfId="4" applyNumberFormat="1" applyFill="1" applyBorder="1"/>
    <xf numFmtId="10" fontId="2" fillId="0" borderId="13" xfId="4" applyNumberFormat="1" applyFill="1" applyBorder="1"/>
    <xf numFmtId="9" fontId="2" fillId="0" borderId="0" xfId="3" applyFont="1"/>
    <xf numFmtId="10" fontId="2" fillId="0" borderId="0" xfId="3" applyNumberFormat="1" applyFont="1" applyFill="1" applyBorder="1"/>
    <xf numFmtId="10" fontId="2" fillId="0" borderId="0" xfId="3" applyNumberFormat="1" applyFont="1" applyFill="1"/>
    <xf numFmtId="37" fontId="2" fillId="0" borderId="0" xfId="4" applyNumberFormat="1" applyFont="1" applyFill="1" applyProtection="1"/>
    <xf numFmtId="10" fontId="12" fillId="0" borderId="0" xfId="4" applyNumberFormat="1" applyFont="1" applyFill="1" applyProtection="1">
      <protection locked="0"/>
    </xf>
    <xf numFmtId="164" fontId="10" fillId="0" borderId="0" xfId="4" applyNumberFormat="1" applyFont="1" applyBorder="1"/>
    <xf numFmtId="10" fontId="2" fillId="0" borderId="0" xfId="4" applyNumberFormat="1" applyBorder="1"/>
    <xf numFmtId="169" fontId="5" fillId="0" borderId="13" xfId="4" applyNumberFormat="1" applyFont="1" applyFill="1" applyBorder="1" applyProtection="1"/>
    <xf numFmtId="169" fontId="2" fillId="0" borderId="0" xfId="4" applyNumberFormat="1" applyFill="1" applyBorder="1" applyProtection="1"/>
    <xf numFmtId="169" fontId="2" fillId="0" borderId="13" xfId="4" applyNumberFormat="1" applyFill="1" applyBorder="1" applyProtection="1"/>
    <xf numFmtId="10" fontId="2" fillId="0" borderId="13" xfId="4" applyNumberFormat="1" applyFill="1" applyBorder="1" applyProtection="1"/>
    <xf numFmtId="169" fontId="5" fillId="0" borderId="0" xfId="4" applyNumberFormat="1" applyFont="1" applyFill="1" applyProtection="1"/>
    <xf numFmtId="169" fontId="2" fillId="0" borderId="0" xfId="4" applyNumberFormat="1" applyFill="1" applyProtection="1"/>
    <xf numFmtId="10" fontId="2" fillId="0" borderId="0" xfId="4" applyNumberFormat="1" applyFill="1" applyProtection="1"/>
    <xf numFmtId="7" fontId="2" fillId="0" borderId="0" xfId="4" applyNumberFormat="1" applyFont="1" applyFill="1" applyProtection="1"/>
    <xf numFmtId="7" fontId="2" fillId="0" borderId="0" xfId="4" applyNumberFormat="1" applyFill="1" applyBorder="1" applyProtection="1"/>
    <xf numFmtId="7" fontId="2" fillId="0" borderId="0" xfId="4" applyNumberFormat="1" applyFill="1" applyProtection="1"/>
    <xf numFmtId="164" fontId="4" fillId="0" borderId="0" xfId="4" applyNumberFormat="1" applyFont="1" applyFill="1"/>
    <xf numFmtId="174" fontId="2" fillId="0" borderId="0" xfId="1" applyNumberFormat="1" applyFont="1"/>
    <xf numFmtId="10" fontId="11" fillId="0" borderId="0" xfId="3" applyNumberFormat="1" applyFont="1" applyFill="1"/>
    <xf numFmtId="10" fontId="13" fillId="0" borderId="0" xfId="4" applyNumberFormat="1" applyFont="1" applyFill="1" applyProtection="1">
      <protection locked="0"/>
    </xf>
    <xf numFmtId="169" fontId="12" fillId="0" borderId="0" xfId="4" applyNumberFormat="1" applyFont="1" applyFill="1" applyProtection="1"/>
    <xf numFmtId="10" fontId="2" fillId="0" borderId="7" xfId="4" applyNumberFormat="1" applyBorder="1"/>
    <xf numFmtId="10" fontId="2" fillId="0" borderId="8" xfId="4" applyNumberFormat="1" applyBorder="1"/>
    <xf numFmtId="10" fontId="5" fillId="0" borderId="0" xfId="4" applyNumberFormat="1" applyFont="1" applyFill="1"/>
    <xf numFmtId="164" fontId="2" fillId="0" borderId="0" xfId="4" applyNumberFormat="1" applyFont="1" applyAlignment="1">
      <alignment horizontal="right"/>
    </xf>
    <xf numFmtId="10" fontId="5" fillId="0" borderId="13" xfId="4" applyNumberFormat="1" applyFont="1" applyFill="1" applyBorder="1"/>
    <xf numFmtId="6" fontId="2" fillId="0" borderId="0" xfId="3" applyNumberFormat="1" applyFont="1" applyAlignment="1">
      <alignment horizontal="right"/>
    </xf>
    <xf numFmtId="164" fontId="5" fillId="0" borderId="10" xfId="4" applyNumberFormat="1" applyFont="1" applyFill="1" applyBorder="1"/>
    <xf numFmtId="10" fontId="2" fillId="0" borderId="11" xfId="4" applyNumberFormat="1" applyBorder="1"/>
    <xf numFmtId="169" fontId="8" fillId="0" borderId="0" xfId="4" applyNumberFormat="1" applyFont="1" applyFill="1" applyAlignment="1" applyProtection="1">
      <alignment horizontal="right"/>
    </xf>
    <xf numFmtId="10" fontId="8" fillId="0" borderId="0" xfId="4" applyNumberFormat="1" applyFont="1" applyFill="1" applyAlignment="1" applyProtection="1">
      <alignment horizontal="right"/>
    </xf>
    <xf numFmtId="7" fontId="5" fillId="0" borderId="0" xfId="4" applyNumberFormat="1" applyFont="1" applyFill="1" applyBorder="1" applyProtection="1">
      <protection locked="0"/>
    </xf>
    <xf numFmtId="49" fontId="5" fillId="0" borderId="0" xfId="4" applyNumberFormat="1" applyFont="1" applyFill="1" applyAlignment="1">
      <alignment horizontal="left"/>
    </xf>
    <xf numFmtId="164" fontId="8" fillId="0" borderId="0" xfId="4" applyNumberFormat="1" applyFont="1"/>
    <xf numFmtId="175" fontId="2" fillId="0" borderId="0" xfId="1" applyNumberFormat="1" applyFont="1"/>
    <xf numFmtId="164" fontId="5" fillId="0" borderId="6" xfId="4" applyNumberFormat="1" applyFont="1" applyFill="1" applyBorder="1"/>
    <xf numFmtId="37" fontId="2" fillId="0" borderId="8" xfId="4" applyNumberFormat="1" applyFill="1" applyBorder="1" applyProtection="1"/>
    <xf numFmtId="37" fontId="2" fillId="0" borderId="11" xfId="4" applyNumberFormat="1" applyFill="1" applyBorder="1" applyProtection="1"/>
    <xf numFmtId="173" fontId="5" fillId="0" borderId="0" xfId="4" applyNumberFormat="1" applyFont="1" applyFill="1" applyProtection="1"/>
    <xf numFmtId="173" fontId="2" fillId="0" borderId="0" xfId="4" applyNumberFormat="1" applyFill="1" applyProtection="1"/>
    <xf numFmtId="164" fontId="14" fillId="0" borderId="0" xfId="4" applyNumberFormat="1" applyFont="1" applyFill="1" applyAlignment="1">
      <alignment horizontal="left"/>
    </xf>
    <xf numFmtId="5" fontId="2" fillId="0" borderId="0" xfId="4" applyNumberFormat="1" applyFont="1" applyFill="1" applyProtection="1"/>
    <xf numFmtId="5" fontId="2" fillId="0" borderId="0" xfId="4" applyNumberFormat="1" applyFont="1" applyFill="1" applyBorder="1" applyProtection="1"/>
    <xf numFmtId="164" fontId="2" fillId="0" borderId="0" xfId="4" quotePrefix="1" applyNumberFormat="1" applyFont="1"/>
    <xf numFmtId="164" fontId="5" fillId="0" borderId="3" xfId="4" applyNumberFormat="1" applyFont="1" applyFill="1" applyBorder="1"/>
    <xf numFmtId="10" fontId="2" fillId="0" borderId="4" xfId="4" applyNumberFormat="1" applyBorder="1"/>
    <xf numFmtId="164" fontId="5" fillId="0" borderId="1" xfId="4" applyNumberFormat="1" applyFont="1" applyFill="1" applyBorder="1"/>
    <xf numFmtId="5" fontId="2" fillId="0" borderId="1" xfId="4" applyNumberFormat="1" applyFont="1" applyFill="1" applyBorder="1" applyProtection="1"/>
    <xf numFmtId="10" fontId="5" fillId="0" borderId="1" xfId="4" applyNumberFormat="1" applyFont="1" applyFill="1" applyBorder="1"/>
    <xf numFmtId="0" fontId="15" fillId="0" borderId="0" xfId="5"/>
    <xf numFmtId="5" fontId="2" fillId="0" borderId="12" xfId="4" applyNumberFormat="1" applyFont="1" applyFill="1" applyBorder="1" applyProtection="1"/>
    <xf numFmtId="10" fontId="5" fillId="0" borderId="12" xfId="4" applyNumberFormat="1" applyFont="1" applyFill="1" applyBorder="1"/>
    <xf numFmtId="170" fontId="5" fillId="0" borderId="0" xfId="4" applyNumberFormat="1" applyFont="1" applyFill="1" applyProtection="1">
      <protection locked="0"/>
    </xf>
    <xf numFmtId="167" fontId="2" fillId="0" borderId="11" xfId="4" applyNumberFormat="1" applyBorder="1"/>
    <xf numFmtId="164" fontId="8" fillId="0" borderId="7" xfId="4" applyNumberFormat="1" applyFont="1" applyBorder="1"/>
    <xf numFmtId="164" fontId="8" fillId="0" borderId="11" xfId="4" applyNumberFormat="1" applyFont="1" applyBorder="1"/>
    <xf numFmtId="169" fontId="8" fillId="0" borderId="0" xfId="4" applyNumberFormat="1" applyFont="1" applyFill="1" applyProtection="1"/>
    <xf numFmtId="164" fontId="8" fillId="0" borderId="0" xfId="4" applyNumberFormat="1" applyFont="1" applyFill="1" applyBorder="1"/>
    <xf numFmtId="164" fontId="8" fillId="0" borderId="0" xfId="4" applyNumberFormat="1" applyFont="1" applyFill="1"/>
    <xf numFmtId="10" fontId="8" fillId="0" borderId="0" xfId="4" applyNumberFormat="1" applyFont="1" applyFill="1"/>
    <xf numFmtId="0" fontId="16" fillId="0" borderId="0" xfId="5" applyFont="1"/>
    <xf numFmtId="0" fontId="15" fillId="0" borderId="0" xfId="5" applyBorder="1"/>
    <xf numFmtId="10" fontId="15" fillId="0" borderId="0" xfId="5" applyNumberFormat="1"/>
    <xf numFmtId="5" fontId="15" fillId="0" borderId="0" xfId="5" applyNumberFormat="1"/>
    <xf numFmtId="164" fontId="2" fillId="0" borderId="0" xfId="4" applyNumberFormat="1" applyFont="1" applyBorder="1" applyAlignment="1">
      <alignment horizontal="right"/>
    </xf>
    <xf numFmtId="164" fontId="5" fillId="0" borderId="0" xfId="4" applyNumberFormat="1" applyFont="1" applyFill="1" applyProtection="1">
      <protection locked="0"/>
    </xf>
    <xf numFmtId="10" fontId="2" fillId="0" borderId="0" xfId="3" applyNumberFormat="1" applyFont="1" applyBorder="1" applyAlignment="1">
      <alignment horizontal="right"/>
    </xf>
    <xf numFmtId="167" fontId="8" fillId="0" borderId="11" xfId="4" applyNumberFormat="1" applyFont="1" applyBorder="1"/>
    <xf numFmtId="164" fontId="11" fillId="0" borderId="3" xfId="4" applyNumberFormat="1" applyFont="1" applyFill="1" applyBorder="1"/>
    <xf numFmtId="177" fontId="11" fillId="0" borderId="4" xfId="4" applyNumberFormat="1" applyFont="1" applyBorder="1"/>
    <xf numFmtId="164" fontId="8" fillId="0" borderId="0" xfId="4" applyNumberFormat="1" applyFont="1" applyBorder="1"/>
    <xf numFmtId="177" fontId="8" fillId="0" borderId="0" xfId="4" applyNumberFormat="1" applyFont="1" applyFill="1" applyAlignment="1" applyProtection="1">
      <alignment horizontal="right"/>
    </xf>
    <xf numFmtId="5" fontId="2" fillId="0" borderId="14" xfId="4" applyNumberFormat="1" applyFill="1" applyBorder="1" applyProtection="1"/>
    <xf numFmtId="5" fontId="2" fillId="0" borderId="15" xfId="4" applyNumberFormat="1" applyFill="1" applyBorder="1" applyProtection="1"/>
    <xf numFmtId="167" fontId="2" fillId="0" borderId="0" xfId="3" applyNumberFormat="1" applyFont="1" applyFill="1"/>
    <xf numFmtId="164" fontId="5" fillId="0" borderId="2" xfId="4" applyNumberFormat="1" applyFont="1" applyFill="1" applyBorder="1"/>
    <xf numFmtId="10" fontId="5" fillId="0" borderId="2" xfId="4" applyNumberFormat="1" applyFont="1" applyFill="1" applyBorder="1"/>
    <xf numFmtId="165" fontId="2" fillId="0" borderId="11" xfId="4" applyNumberFormat="1" applyFill="1" applyBorder="1" applyProtection="1"/>
    <xf numFmtId="7" fontId="5" fillId="0" borderId="0" xfId="4" applyNumberFormat="1" applyFont="1" applyFill="1" applyBorder="1" applyProtection="1"/>
    <xf numFmtId="10" fontId="5" fillId="0" borderId="0" xfId="4" applyNumberFormat="1" applyFont="1" applyFill="1" applyBorder="1" applyProtection="1"/>
    <xf numFmtId="5" fontId="2" fillId="0" borderId="1" xfId="4" applyNumberFormat="1" applyFill="1" applyBorder="1" applyProtection="1"/>
    <xf numFmtId="164" fontId="2" fillId="0" borderId="2" xfId="4" applyNumberFormat="1" applyFill="1" applyBorder="1"/>
    <xf numFmtId="10" fontId="2" fillId="0" borderId="2" xfId="4" applyNumberFormat="1" applyFill="1" applyBorder="1"/>
    <xf numFmtId="10" fontId="2" fillId="0" borderId="0" xfId="4" applyNumberFormat="1" applyFill="1" applyBorder="1" applyProtection="1"/>
    <xf numFmtId="5" fontId="5" fillId="0" borderId="0" xfId="4" applyNumberFormat="1" applyFont="1" applyFill="1"/>
    <xf numFmtId="164" fontId="5" fillId="0" borderId="0" xfId="4" applyNumberFormat="1" applyFont="1"/>
    <xf numFmtId="5" fontId="5" fillId="0" borderId="0" xfId="4" applyNumberFormat="1" applyFont="1" applyFill="1" applyBorder="1" applyProtection="1"/>
    <xf numFmtId="10" fontId="5" fillId="0" borderId="0" xfId="4" applyNumberFormat="1" applyFont="1" applyFill="1" applyBorder="1" applyProtection="1">
      <protection locked="0"/>
    </xf>
    <xf numFmtId="5" fontId="5" fillId="0" borderId="0" xfId="4" applyNumberFormat="1" applyFont="1" applyFill="1" applyProtection="1"/>
    <xf numFmtId="178" fontId="5" fillId="0" borderId="0" xfId="4" applyNumberFormat="1" applyFont="1"/>
    <xf numFmtId="178" fontId="5" fillId="0" borderId="0" xfId="4" applyNumberFormat="1" applyFont="1" applyFill="1"/>
    <xf numFmtId="5" fontId="5" fillId="0" borderId="2" xfId="4" applyNumberFormat="1" applyFont="1" applyFill="1" applyBorder="1" applyProtection="1"/>
    <xf numFmtId="5" fontId="5" fillId="0" borderId="13" xfId="4" applyNumberFormat="1" applyFont="1" applyFill="1" applyBorder="1"/>
    <xf numFmtId="0" fontId="5" fillId="0" borderId="0" xfId="0" applyFont="1"/>
    <xf numFmtId="165" fontId="5" fillId="0" borderId="13" xfId="1" applyNumberFormat="1" applyFont="1" applyFill="1" applyBorder="1"/>
    <xf numFmtId="165" fontId="5" fillId="0" borderId="0" xfId="1" applyNumberFormat="1" applyFont="1" applyFill="1" applyBorder="1"/>
    <xf numFmtId="10" fontId="5" fillId="0" borderId="13" xfId="1" applyNumberFormat="1" applyFont="1" applyFill="1" applyBorder="1"/>
    <xf numFmtId="5" fontId="5" fillId="0" borderId="13" xfId="1" applyNumberFormat="1" applyFont="1" applyFill="1" applyBorder="1"/>
    <xf numFmtId="10" fontId="5" fillId="0" borderId="0" xfId="4" applyNumberFormat="1" applyFont="1"/>
    <xf numFmtId="10" fontId="5" fillId="0" borderId="0" xfId="3" applyNumberFormat="1" applyFont="1" applyFill="1" applyBorder="1"/>
    <xf numFmtId="164" fontId="17" fillId="0" borderId="0" xfId="4" applyNumberFormat="1" applyFont="1" applyFill="1" applyAlignment="1">
      <alignment horizontal="left"/>
    </xf>
    <xf numFmtId="167" fontId="2" fillId="0" borderId="4" xfId="4" applyNumberFormat="1" applyBorder="1"/>
    <xf numFmtId="174" fontId="5" fillId="0" borderId="0" xfId="1" applyNumberFormat="1" applyFont="1" applyFill="1" applyBorder="1" applyProtection="1">
      <protection locked="0"/>
    </xf>
    <xf numFmtId="10" fontId="5" fillId="0" borderId="0" xfId="1" applyNumberFormat="1" applyFont="1" applyFill="1" applyBorder="1" applyProtection="1">
      <protection locked="0"/>
    </xf>
    <xf numFmtId="0" fontId="5" fillId="0" borderId="0" xfId="0" applyFont="1" applyBorder="1"/>
    <xf numFmtId="49" fontId="6" fillId="0" borderId="0" xfId="4" applyNumberFormat="1" applyFont="1" applyFill="1"/>
    <xf numFmtId="7" fontId="5" fillId="0" borderId="1" xfId="4" applyNumberFormat="1" applyFont="1" applyFill="1" applyBorder="1" applyProtection="1">
      <protection locked="0"/>
    </xf>
    <xf numFmtId="10" fontId="5" fillId="0" borderId="1" xfId="4" applyNumberFormat="1" applyFont="1" applyFill="1" applyBorder="1" applyProtection="1">
      <protection locked="0"/>
    </xf>
    <xf numFmtId="174" fontId="5" fillId="0" borderId="0" xfId="1" applyNumberFormat="1" applyFont="1"/>
    <xf numFmtId="10" fontId="5" fillId="0" borderId="0" xfId="4" applyNumberFormat="1" applyFont="1" applyFill="1" applyBorder="1"/>
    <xf numFmtId="5" fontId="5" fillId="0" borderId="13" xfId="4" applyNumberFormat="1" applyFont="1" applyFill="1" applyBorder="1" applyProtection="1"/>
    <xf numFmtId="164" fontId="18" fillId="0" borderId="0" xfId="4" applyNumberFormat="1" applyFont="1" applyFill="1" applyAlignment="1">
      <alignment horizontal="left"/>
    </xf>
    <xf numFmtId="174" fontId="5" fillId="0" borderId="0" xfId="1" applyNumberFormat="1" applyFont="1" applyFill="1" applyProtection="1">
      <protection locked="0"/>
    </xf>
    <xf numFmtId="10" fontId="5" fillId="0" borderId="0" xfId="1" applyNumberFormat="1" applyFont="1" applyFill="1" applyProtection="1">
      <protection locked="0"/>
    </xf>
    <xf numFmtId="174" fontId="8" fillId="0" borderId="0" xfId="1" applyNumberFormat="1" applyFont="1" applyFill="1" applyBorder="1" applyProtection="1">
      <protection locked="0"/>
    </xf>
    <xf numFmtId="174" fontId="2" fillId="0" borderId="0" xfId="1" applyNumberFormat="1" applyFont="1" applyFill="1" applyBorder="1" applyProtection="1">
      <protection locked="0"/>
    </xf>
    <xf numFmtId="9" fontId="2" fillId="0" borderId="0" xfId="3" applyNumberFormat="1" applyFont="1"/>
    <xf numFmtId="9" fontId="2" fillId="0" borderId="0" xfId="4" applyNumberFormat="1"/>
    <xf numFmtId="178" fontId="11" fillId="0" borderId="0" xfId="3" applyNumberFormat="1" applyFont="1" applyBorder="1"/>
    <xf numFmtId="7" fontId="13" fillId="0" borderId="0" xfId="4" applyNumberFormat="1" applyFont="1" applyFill="1" applyProtection="1">
      <protection locked="0"/>
    </xf>
    <xf numFmtId="164" fontId="12" fillId="2" borderId="3" xfId="4" applyNumberFormat="1" applyFont="1" applyFill="1" applyBorder="1"/>
    <xf numFmtId="164" fontId="12" fillId="2" borderId="4" xfId="4" applyNumberFormat="1" applyFont="1" applyFill="1" applyBorder="1"/>
    <xf numFmtId="9" fontId="2" fillId="0" borderId="0" xfId="3" applyNumberFormat="1" applyFont="1" applyProtection="1"/>
    <xf numFmtId="180" fontId="5" fillId="0" borderId="0" xfId="4" applyNumberFormat="1" applyFont="1" applyFill="1" applyProtection="1">
      <protection locked="0"/>
    </xf>
    <xf numFmtId="180" fontId="8" fillId="0" borderId="0" xfId="4" applyNumberFormat="1" applyFont="1" applyFill="1" applyBorder="1" applyProtection="1">
      <protection locked="0"/>
    </xf>
    <xf numFmtId="180" fontId="5" fillId="0" borderId="0" xfId="4" applyNumberFormat="1" applyFont="1" applyFill="1" applyProtection="1"/>
    <xf numFmtId="180" fontId="2" fillId="0" borderId="0" xfId="4" applyNumberFormat="1" applyFill="1" applyBorder="1" applyProtection="1"/>
    <xf numFmtId="180" fontId="2" fillId="0" borderId="0" xfId="4" applyNumberFormat="1" applyFont="1" applyFill="1" applyProtection="1">
      <protection locked="0"/>
    </xf>
    <xf numFmtId="10" fontId="8" fillId="0" borderId="0" xfId="4" applyNumberFormat="1" applyFont="1" applyBorder="1"/>
    <xf numFmtId="167" fontId="2" fillId="0" borderId="0" xfId="4" applyNumberFormat="1"/>
    <xf numFmtId="173" fontId="5" fillId="0" borderId="1" xfId="4" applyNumberFormat="1" applyFont="1" applyFill="1" applyBorder="1" applyProtection="1"/>
    <xf numFmtId="173" fontId="2" fillId="0" borderId="1" xfId="4" applyNumberFormat="1" applyFill="1" applyBorder="1" applyProtection="1"/>
    <xf numFmtId="10" fontId="2" fillId="0" borderId="1" xfId="4" applyNumberFormat="1" applyFill="1" applyBorder="1" applyProtection="1"/>
    <xf numFmtId="5" fontId="2" fillId="0" borderId="0" xfId="4" applyNumberFormat="1" applyFont="1" applyFill="1" applyProtection="1">
      <protection locked="0"/>
    </xf>
    <xf numFmtId="164" fontId="2" fillId="0" borderId="0" xfId="4" applyNumberFormat="1" applyFill="1" applyBorder="1" applyProtection="1"/>
    <xf numFmtId="164" fontId="2" fillId="0" borderId="0" xfId="4" applyNumberFormat="1" applyFill="1" applyProtection="1"/>
    <xf numFmtId="5" fontId="2" fillId="0" borderId="2" xfId="4" applyNumberFormat="1" applyFont="1" applyFill="1" applyBorder="1" applyProtection="1"/>
    <xf numFmtId="169" fontId="2" fillId="0" borderId="0" xfId="4" applyNumberFormat="1" applyFont="1" applyFill="1" applyProtection="1"/>
    <xf numFmtId="5" fontId="2" fillId="0" borderId="13" xfId="4" applyNumberFormat="1" applyFont="1" applyFill="1" applyBorder="1" applyProtection="1"/>
    <xf numFmtId="164" fontId="6" fillId="0" borderId="0" xfId="4" applyNumberFormat="1" applyFont="1" applyFill="1" applyBorder="1" applyAlignment="1">
      <alignment horizontal="left"/>
    </xf>
    <xf numFmtId="5" fontId="2" fillId="0" borderId="0" xfId="4" applyNumberFormat="1" applyFont="1" applyFill="1"/>
    <xf numFmtId="174" fontId="8" fillId="0" borderId="0" xfId="1" applyNumberFormat="1" applyFont="1" applyFill="1" applyBorder="1" applyProtection="1"/>
    <xf numFmtId="174" fontId="8" fillId="0" borderId="0" xfId="1" applyNumberFormat="1" applyFont="1" applyFill="1" applyProtection="1"/>
    <xf numFmtId="10" fontId="8" fillId="0" borderId="0" xfId="1" applyNumberFormat="1" applyFont="1" applyFill="1" applyProtection="1"/>
    <xf numFmtId="169" fontId="2" fillId="0" borderId="12" xfId="4" applyNumberFormat="1" applyFill="1" applyBorder="1" applyProtection="1"/>
    <xf numFmtId="10" fontId="2" fillId="0" borderId="12" xfId="4" applyNumberFormat="1" applyFill="1" applyBorder="1" applyProtection="1"/>
    <xf numFmtId="164" fontId="8" fillId="0" borderId="0" xfId="4" applyNumberFormat="1" applyFont="1" applyFill="1" applyBorder="1" applyProtection="1">
      <protection locked="0"/>
    </xf>
    <xf numFmtId="164" fontId="5" fillId="0" borderId="0" xfId="4" applyNumberFormat="1" applyFont="1" applyFill="1" applyBorder="1" applyProtection="1">
      <protection locked="0"/>
    </xf>
    <xf numFmtId="10" fontId="5" fillId="0" borderId="1" xfId="4" applyNumberFormat="1" applyFont="1" applyFill="1" applyBorder="1" applyProtection="1"/>
    <xf numFmtId="10" fontId="5" fillId="0" borderId="13" xfId="4" applyNumberFormat="1" applyFont="1" applyFill="1" applyBorder="1" applyProtection="1"/>
    <xf numFmtId="180" fontId="8" fillId="0" borderId="0" xfId="4" applyNumberFormat="1" applyFont="1" applyFill="1" applyProtection="1">
      <protection locked="0"/>
    </xf>
    <xf numFmtId="10" fontId="8" fillId="0" borderId="0" xfId="4" applyNumberFormat="1" applyFont="1" applyFill="1" applyBorder="1" applyProtection="1">
      <protection locked="0"/>
    </xf>
    <xf numFmtId="169" fontId="8" fillId="0" borderId="0" xfId="4" applyNumberFormat="1" applyFont="1" applyFill="1" applyBorder="1" applyProtection="1">
      <protection locked="0"/>
    </xf>
    <xf numFmtId="7" fontId="5" fillId="0" borderId="2" xfId="4" applyNumberFormat="1" applyFont="1" applyFill="1" applyBorder="1" applyProtection="1">
      <protection locked="0"/>
    </xf>
    <xf numFmtId="10" fontId="5" fillId="0" borderId="2" xfId="4" applyNumberFormat="1" applyFont="1" applyFill="1" applyBorder="1" applyProtection="1">
      <protection locked="0"/>
    </xf>
    <xf numFmtId="165" fontId="2" fillId="0" borderId="0" xfId="1" applyNumberFormat="1" applyFont="1" applyFill="1" applyBorder="1"/>
    <xf numFmtId="5" fontId="2" fillId="0" borderId="13" xfId="4" applyNumberFormat="1" applyFill="1" applyBorder="1"/>
    <xf numFmtId="165" fontId="2" fillId="0" borderId="13" xfId="1" applyNumberFormat="1" applyFont="1" applyFill="1" applyBorder="1"/>
    <xf numFmtId="10" fontId="2" fillId="0" borderId="13" xfId="1" applyNumberFormat="1" applyFont="1" applyFill="1" applyBorder="1"/>
    <xf numFmtId="5" fontId="2" fillId="0" borderId="13" xfId="1" applyNumberFormat="1" applyFont="1" applyFill="1" applyBorder="1"/>
    <xf numFmtId="175" fontId="2" fillId="0" borderId="0" xfId="1" applyNumberFormat="1" applyFont="1" applyFill="1"/>
    <xf numFmtId="169" fontId="2" fillId="0" borderId="0" xfId="4" applyNumberFormat="1" applyProtection="1"/>
    <xf numFmtId="5" fontId="2" fillId="0" borderId="0" xfId="4" applyNumberFormat="1" applyProtection="1"/>
    <xf numFmtId="175" fontId="2" fillId="0" borderId="1" xfId="1" applyNumberFormat="1" applyFont="1" applyFill="1" applyBorder="1"/>
    <xf numFmtId="169" fontId="2" fillId="0" borderId="1" xfId="4" applyNumberFormat="1" applyFill="1" applyBorder="1" applyProtection="1"/>
    <xf numFmtId="175" fontId="2" fillId="0" borderId="12" xfId="1" applyNumberFormat="1" applyFont="1" applyFill="1" applyBorder="1"/>
    <xf numFmtId="164" fontId="4" fillId="0" borderId="0" xfId="6" applyNumberFormat="1" applyFont="1" applyAlignment="1">
      <alignment horizontal="centerContinuous"/>
    </xf>
    <xf numFmtId="164" fontId="4" fillId="0" borderId="0" xfId="6" applyNumberFormat="1" applyFont="1" applyFill="1" applyAlignment="1">
      <alignment horizontal="centerContinuous"/>
    </xf>
    <xf numFmtId="164" fontId="2" fillId="0" borderId="0" xfId="6" applyNumberFormat="1" applyFill="1" applyAlignment="1">
      <alignment horizontal="centerContinuous"/>
    </xf>
    <xf numFmtId="167" fontId="2" fillId="0" borderId="0" xfId="6" applyNumberFormat="1" applyFill="1" applyAlignment="1">
      <alignment horizontal="centerContinuous"/>
    </xf>
    <xf numFmtId="2" fontId="2" fillId="0" borderId="0" xfId="6" applyNumberFormat="1" applyFill="1" applyAlignment="1">
      <alignment horizontal="centerContinuous"/>
    </xf>
    <xf numFmtId="164" fontId="4" fillId="0" borderId="0" xfId="6" applyNumberFormat="1" applyFont="1" applyFill="1" applyAlignment="1">
      <alignment horizontal="left"/>
    </xf>
    <xf numFmtId="164" fontId="2" fillId="0" borderId="0" xfId="6" applyNumberFormat="1"/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164" fontId="2" fillId="0" borderId="0" xfId="6" applyNumberFormat="1" applyAlignment="1">
      <alignment horizontal="centerContinuous"/>
    </xf>
    <xf numFmtId="167" fontId="2" fillId="0" borderId="0" xfId="6" applyNumberFormat="1" applyAlignment="1">
      <alignment horizontal="centerContinuous"/>
    </xf>
    <xf numFmtId="164" fontId="2" fillId="0" borderId="0" xfId="6" applyNumberFormat="1" applyAlignment="1">
      <alignment horizontal="left"/>
    </xf>
    <xf numFmtId="164" fontId="4" fillId="0" borderId="0" xfId="6" applyNumberFormat="1" applyFont="1" applyFill="1" applyBorder="1" applyAlignment="1">
      <alignment horizontal="left"/>
    </xf>
    <xf numFmtId="164" fontId="4" fillId="0" borderId="0" xfId="6" applyNumberFormat="1" applyFont="1" applyFill="1" applyAlignment="1">
      <alignment horizontal="center"/>
    </xf>
    <xf numFmtId="164" fontId="2" fillId="0" borderId="0" xfId="6" applyNumberFormat="1" applyFill="1"/>
    <xf numFmtId="167" fontId="2" fillId="0" borderId="0" xfId="6" applyNumberFormat="1" applyFill="1"/>
    <xf numFmtId="2" fontId="2" fillId="0" borderId="0" xfId="6" applyNumberFormat="1" applyFill="1"/>
    <xf numFmtId="164" fontId="2" fillId="0" borderId="0" xfId="6" applyNumberFormat="1" applyFill="1" applyAlignment="1">
      <alignment horizontal="left"/>
    </xf>
    <xf numFmtId="164" fontId="4" fillId="0" borderId="0" xfId="6" applyNumberFormat="1" applyFont="1" applyAlignment="1">
      <alignment horizontal="center"/>
    </xf>
    <xf numFmtId="164" fontId="4" fillId="0" borderId="0" xfId="6" applyNumberFormat="1" applyFont="1" applyFill="1" applyBorder="1" applyAlignment="1">
      <alignment horizontal="center"/>
    </xf>
    <xf numFmtId="164" fontId="4" fillId="0" borderId="1" xfId="6" applyNumberFormat="1" applyFont="1" applyFill="1" applyBorder="1" applyAlignment="1">
      <alignment horizontal="centerContinuous"/>
    </xf>
    <xf numFmtId="167" fontId="4" fillId="0" borderId="1" xfId="6" applyNumberFormat="1" applyFont="1" applyFill="1" applyBorder="1" applyAlignment="1">
      <alignment horizontal="centerContinuous"/>
    </xf>
    <xf numFmtId="2" fontId="2" fillId="0" borderId="1" xfId="6" applyNumberFormat="1" applyFill="1" applyBorder="1" applyAlignment="1">
      <alignment horizontal="centerContinuous"/>
    </xf>
    <xf numFmtId="164" fontId="4" fillId="0" borderId="0" xfId="6" applyNumberFormat="1" applyFont="1"/>
    <xf numFmtId="2" fontId="4" fillId="0" borderId="0" xfId="6" applyNumberFormat="1" applyFont="1" applyFill="1" applyAlignment="1">
      <alignment horizontal="center"/>
    </xf>
    <xf numFmtId="164" fontId="4" fillId="0" borderId="1" xfId="6" applyNumberFormat="1" applyFont="1" applyBorder="1" applyAlignment="1">
      <alignment horizontal="center"/>
    </xf>
    <xf numFmtId="164" fontId="4" fillId="0" borderId="1" xfId="6" applyNumberFormat="1" applyFont="1" applyFill="1" applyBorder="1" applyAlignment="1">
      <alignment horizontal="center"/>
    </xf>
    <xf numFmtId="164" fontId="4" fillId="0" borderId="1" xfId="6" quotePrefix="1" applyNumberFormat="1" applyFont="1" applyFill="1" applyBorder="1" applyAlignment="1">
      <alignment horizontal="center"/>
    </xf>
    <xf numFmtId="167" fontId="4" fillId="0" borderId="1" xfId="6" applyNumberFormat="1" applyFont="1" applyFill="1" applyBorder="1" applyAlignment="1">
      <alignment horizontal="center"/>
    </xf>
    <xf numFmtId="2" fontId="4" fillId="0" borderId="1" xfId="6" applyNumberFormat="1" applyFont="1" applyFill="1" applyBorder="1" applyAlignment="1">
      <alignment horizontal="center"/>
    </xf>
    <xf numFmtId="164" fontId="4" fillId="0" borderId="0" xfId="6" applyNumberFormat="1" applyFont="1" applyAlignment="1">
      <alignment horizontal="left"/>
    </xf>
    <xf numFmtId="37" fontId="4" fillId="0" borderId="0" xfId="6" quotePrefix="1" applyNumberFormat="1" applyFont="1" applyAlignment="1">
      <alignment horizontal="center"/>
    </xf>
    <xf numFmtId="37" fontId="4" fillId="0" borderId="0" xfId="6" quotePrefix="1" applyNumberFormat="1" applyFont="1" applyFill="1" applyAlignment="1">
      <alignment horizontal="center"/>
    </xf>
    <xf numFmtId="37" fontId="4" fillId="0" borderId="0" xfId="6" quotePrefix="1" applyNumberFormat="1" applyFont="1" applyFill="1" applyAlignment="1">
      <alignment horizontal="left"/>
    </xf>
    <xf numFmtId="164" fontId="4" fillId="0" borderId="0" xfId="6" applyNumberFormat="1" applyFont="1" applyFill="1"/>
    <xf numFmtId="167" fontId="4" fillId="0" borderId="0" xfId="6" applyNumberFormat="1" applyFont="1" applyFill="1" applyAlignment="1">
      <alignment horizontal="center"/>
    </xf>
    <xf numFmtId="164" fontId="2" fillId="0" borderId="0" xfId="6" applyNumberFormat="1" applyFont="1" applyAlignment="1">
      <alignment horizontal="right"/>
    </xf>
    <xf numFmtId="5" fontId="2" fillId="0" borderId="0" xfId="2" applyNumberFormat="1" applyFont="1" applyFill="1"/>
    <xf numFmtId="5" fontId="2" fillId="0" borderId="0" xfId="6" applyNumberFormat="1" applyFill="1"/>
    <xf numFmtId="167" fontId="2" fillId="0" borderId="0" xfId="2" applyNumberFormat="1" applyFont="1" applyFill="1"/>
    <xf numFmtId="164" fontId="5" fillId="0" borderId="0" xfId="6" applyNumberFormat="1" applyFont="1" applyFill="1"/>
    <xf numFmtId="2" fontId="5" fillId="0" borderId="0" xfId="6" applyNumberFormat="1" applyFont="1" applyFill="1"/>
    <xf numFmtId="164" fontId="5" fillId="0" borderId="0" xfId="6" applyNumberFormat="1" applyFont="1" applyFill="1" applyAlignment="1">
      <alignment horizontal="left"/>
    </xf>
    <xf numFmtId="164" fontId="2" fillId="0" borderId="0" xfId="6" applyNumberFormat="1" applyAlignment="1">
      <alignment horizontal="right"/>
    </xf>
    <xf numFmtId="164" fontId="2" fillId="0" borderId="0" xfId="6" applyNumberFormat="1" applyFont="1"/>
    <xf numFmtId="164" fontId="2" fillId="0" borderId="0" xfId="6" applyNumberFormat="1" applyBorder="1" applyAlignment="1">
      <alignment horizontal="right"/>
    </xf>
    <xf numFmtId="164" fontId="2" fillId="0" borderId="0" xfId="6" applyNumberFormat="1" applyFill="1" applyBorder="1"/>
    <xf numFmtId="164" fontId="2" fillId="0" borderId="1" xfId="6" applyNumberFormat="1" applyFill="1" applyBorder="1" applyAlignment="1">
      <alignment horizontal="right"/>
    </xf>
    <xf numFmtId="5" fontId="2" fillId="0" borderId="1" xfId="2" applyNumberFormat="1" applyFont="1" applyFill="1" applyBorder="1"/>
    <xf numFmtId="167" fontId="2" fillId="0" borderId="1" xfId="2" applyNumberFormat="1" applyFont="1" applyFill="1" applyBorder="1"/>
    <xf numFmtId="2" fontId="2" fillId="0" borderId="1" xfId="6" applyNumberFormat="1" applyFill="1" applyBorder="1"/>
    <xf numFmtId="180" fontId="2" fillId="0" borderId="0" xfId="2" applyNumberFormat="1" applyFont="1" applyFill="1"/>
    <xf numFmtId="164" fontId="2" fillId="0" borderId="0" xfId="6" quotePrefix="1" applyNumberFormat="1" applyAlignment="1">
      <alignment horizontal="right"/>
    </xf>
    <xf numFmtId="164" fontId="20" fillId="0" borderId="0" xfId="6" applyNumberFormat="1" applyFont="1"/>
    <xf numFmtId="164" fontId="4" fillId="0" borderId="0" xfId="6" applyNumberFormat="1" applyFont="1" applyAlignment="1">
      <alignment wrapText="1"/>
    </xf>
    <xf numFmtId="164" fontId="2" fillId="0" borderId="0" xfId="6" quotePrefix="1" applyNumberFormat="1" applyFont="1" applyAlignment="1">
      <alignment horizontal="right"/>
    </xf>
    <xf numFmtId="3" fontId="2" fillId="0" borderId="0" xfId="6" applyNumberFormat="1" applyFill="1"/>
    <xf numFmtId="164" fontId="2" fillId="0" borderId="0" xfId="6" applyNumberFormat="1" applyBorder="1"/>
    <xf numFmtId="175" fontId="2" fillId="0" borderId="0" xfId="1" applyNumberFormat="1" applyFont="1" applyFill="1" applyBorder="1"/>
    <xf numFmtId="5" fontId="2" fillId="0" borderId="0" xfId="2" applyNumberFormat="1" applyFont="1" applyFill="1" applyBorder="1"/>
    <xf numFmtId="5" fontId="2" fillId="0" borderId="0" xfId="6" applyNumberFormat="1" applyFill="1" applyBorder="1"/>
    <xf numFmtId="167" fontId="2" fillId="0" borderId="0" xfId="2" applyNumberFormat="1" applyFont="1" applyFill="1" applyBorder="1"/>
    <xf numFmtId="2" fontId="2" fillId="0" borderId="0" xfId="6" applyNumberFormat="1" applyFill="1" applyBorder="1"/>
    <xf numFmtId="164" fontId="2" fillId="0" borderId="0" xfId="6" applyNumberFormat="1" applyFill="1" applyBorder="1" applyAlignment="1">
      <alignment horizontal="left"/>
    </xf>
    <xf numFmtId="181" fontId="2" fillId="0" borderId="0" xfId="2" applyNumberFormat="1" applyFont="1" applyFill="1"/>
    <xf numFmtId="181" fontId="2" fillId="0" borderId="0" xfId="2" applyNumberFormat="1" applyFont="1" applyFill="1" applyAlignment="1">
      <alignment horizontal="left"/>
    </xf>
    <xf numFmtId="164" fontId="0" fillId="0" borderId="0" xfId="6" applyNumberFormat="1" applyFont="1"/>
    <xf numFmtId="181" fontId="2" fillId="0" borderId="0" xfId="6" applyNumberFormat="1" applyFill="1"/>
    <xf numFmtId="175" fontId="2" fillId="0" borderId="1" xfId="1" applyNumberFormat="1" applyFont="1" applyFill="1" applyBorder="1" applyAlignment="1">
      <alignment horizontal="right"/>
    </xf>
    <xf numFmtId="181" fontId="2" fillId="0" borderId="0" xfId="6" applyNumberFormat="1" applyFill="1" applyAlignment="1">
      <alignment horizontal="left"/>
    </xf>
    <xf numFmtId="5" fontId="2" fillId="0" borderId="12" xfId="2" applyNumberFormat="1" applyFont="1" applyFill="1" applyBorder="1"/>
    <xf numFmtId="167" fontId="2" fillId="0" borderId="12" xfId="2" applyNumberFormat="1" applyFont="1" applyFill="1" applyBorder="1"/>
    <xf numFmtId="2" fontId="2" fillId="0" borderId="12" xfId="6" applyNumberFormat="1" applyFill="1" applyBorder="1"/>
    <xf numFmtId="164" fontId="4" fillId="0" borderId="0" xfId="6" applyNumberFormat="1" applyFont="1" applyAlignment="1">
      <alignment horizontal="left" wrapText="1"/>
    </xf>
    <xf numFmtId="10" fontId="2" fillId="0" borderId="0" xfId="2" applyNumberFormat="1" applyFont="1" applyFill="1"/>
    <xf numFmtId="0" fontId="22" fillId="0" borderId="0" xfId="7" applyFont="1" applyAlignment="1" applyProtection="1">
      <alignment horizontal="centerContinuous"/>
      <protection locked="0"/>
    </xf>
    <xf numFmtId="0" fontId="22" fillId="0" borderId="0" xfId="7" applyFont="1" applyAlignment="1" applyProtection="1">
      <alignment horizontal="left"/>
      <protection locked="0"/>
    </xf>
    <xf numFmtId="0" fontId="13" fillId="0" borderId="0" xfId="7" applyFont="1" applyProtection="1">
      <protection locked="0"/>
    </xf>
    <xf numFmtId="0" fontId="13" fillId="0" borderId="0" xfId="7" applyFont="1" applyAlignment="1" applyProtection="1">
      <alignment horizontal="center"/>
      <protection locked="0"/>
    </xf>
    <xf numFmtId="0" fontId="13" fillId="0" borderId="0" xfId="7" applyFont="1" applyAlignment="1" applyProtection="1">
      <alignment horizontal="left"/>
      <protection locked="0"/>
    </xf>
    <xf numFmtId="0" fontId="22" fillId="0" borderId="0" xfId="7" applyFont="1" applyAlignment="1" applyProtection="1">
      <alignment horizontal="center"/>
      <protection locked="0"/>
    </xf>
    <xf numFmtId="0" fontId="22" fillId="0" borderId="18" xfId="7" applyFont="1" applyBorder="1" applyAlignment="1" applyProtection="1">
      <alignment horizontal="center"/>
      <protection locked="0"/>
    </xf>
    <xf numFmtId="0" fontId="13" fillId="0" borderId="18" xfId="7" applyFont="1" applyBorder="1" applyAlignment="1" applyProtection="1">
      <alignment horizontal="center"/>
      <protection locked="0"/>
    </xf>
    <xf numFmtId="0" fontId="22" fillId="0" borderId="14" xfId="7" applyFont="1" applyBorder="1" applyAlignment="1" applyProtection="1">
      <alignment horizontal="center"/>
      <protection locked="0"/>
    </xf>
    <xf numFmtId="0" fontId="23" fillId="0" borderId="14" xfId="8" applyFont="1" applyFill="1" applyBorder="1" applyAlignment="1">
      <alignment horizontal="center" wrapText="1"/>
    </xf>
    <xf numFmtId="0" fontId="13" fillId="0" borderId="14" xfId="7" applyFont="1" applyBorder="1" applyAlignment="1" applyProtection="1">
      <alignment horizontal="center"/>
      <protection locked="0"/>
    </xf>
    <xf numFmtId="0" fontId="22" fillId="0" borderId="1" xfId="7" applyFont="1" applyBorder="1" applyAlignment="1" applyProtection="1">
      <alignment horizontal="center"/>
      <protection locked="0"/>
    </xf>
    <xf numFmtId="0" fontId="13" fillId="0" borderId="1" xfId="7" applyFont="1" applyBorder="1" applyAlignment="1" applyProtection="1">
      <alignment horizontal="center"/>
      <protection locked="0"/>
    </xf>
    <xf numFmtId="0" fontId="13" fillId="0" borderId="15" xfId="7" applyFont="1" applyBorder="1" applyAlignment="1" applyProtection="1">
      <alignment horizontal="center"/>
      <protection locked="0"/>
    </xf>
    <xf numFmtId="41" fontId="2" fillId="0" borderId="15" xfId="8" applyNumberFormat="1" applyFont="1" applyFill="1" applyBorder="1" applyAlignment="1">
      <alignment horizontal="center"/>
    </xf>
    <xf numFmtId="6" fontId="13" fillId="0" borderId="0" xfId="7" applyNumberFormat="1" applyFont="1" applyProtection="1">
      <protection locked="0"/>
    </xf>
    <xf numFmtId="167" fontId="13" fillId="0" borderId="0" xfId="7" applyNumberFormat="1" applyFont="1" applyProtection="1">
      <protection locked="0"/>
    </xf>
    <xf numFmtId="10" fontId="13" fillId="0" borderId="14" xfId="7" applyNumberFormat="1" applyFont="1" applyBorder="1" applyProtection="1">
      <protection locked="0"/>
    </xf>
    <xf numFmtId="10" fontId="2" fillId="0" borderId="18" xfId="8" applyNumberFormat="1" applyFill="1" applyBorder="1" applyAlignment="1">
      <alignment horizontal="center"/>
    </xf>
    <xf numFmtId="5" fontId="11" fillId="0" borderId="8" xfId="7" applyNumberFormat="1" applyFont="1" applyBorder="1" applyAlignment="1" applyProtection="1">
      <alignment horizontal="center"/>
      <protection locked="0"/>
    </xf>
    <xf numFmtId="10" fontId="2" fillId="0" borderId="14" xfId="8" applyNumberFormat="1" applyFill="1" applyBorder="1" applyAlignment="1">
      <alignment horizontal="center"/>
    </xf>
    <xf numFmtId="0" fontId="13" fillId="0" borderId="8" xfId="7" applyFont="1" applyBorder="1" applyAlignment="1" applyProtection="1">
      <alignment horizontal="center"/>
      <protection locked="0"/>
    </xf>
    <xf numFmtId="0" fontId="11" fillId="0" borderId="8" xfId="7" applyFont="1" applyBorder="1" applyAlignment="1" applyProtection="1">
      <alignment horizontal="center"/>
      <protection locked="0"/>
    </xf>
    <xf numFmtId="5" fontId="11" fillId="0" borderId="15" xfId="7" applyNumberFormat="1" applyFont="1" applyBorder="1" applyAlignment="1" applyProtection="1">
      <alignment horizontal="center"/>
      <protection locked="0"/>
    </xf>
    <xf numFmtId="10" fontId="13" fillId="0" borderId="0" xfId="7" applyNumberFormat="1" applyFont="1" applyBorder="1" applyAlignment="1" applyProtection="1">
      <alignment horizontal="center"/>
      <protection locked="0"/>
    </xf>
    <xf numFmtId="0" fontId="13" fillId="0" borderId="0" xfId="7" applyFont="1" applyBorder="1" applyAlignment="1" applyProtection="1">
      <alignment horizontal="center"/>
      <protection locked="0"/>
    </xf>
    <xf numFmtId="0" fontId="13" fillId="0" borderId="0" xfId="7" applyFont="1" applyBorder="1" applyProtection="1">
      <protection locked="0"/>
    </xf>
    <xf numFmtId="0" fontId="13" fillId="0" borderId="1" xfId="7" applyFont="1" applyBorder="1" applyProtection="1">
      <protection locked="0"/>
    </xf>
    <xf numFmtId="6" fontId="13" fillId="0" borderId="1" xfId="7" applyNumberFormat="1" applyFont="1" applyBorder="1" applyProtection="1">
      <protection locked="0"/>
    </xf>
    <xf numFmtId="167" fontId="13" fillId="0" borderId="1" xfId="7" applyNumberFormat="1" applyFont="1" applyBorder="1" applyProtection="1">
      <protection locked="0"/>
    </xf>
    <xf numFmtId="0" fontId="22" fillId="0" borderId="19" xfId="7" applyFont="1" applyBorder="1" applyProtection="1">
      <protection locked="0"/>
    </xf>
    <xf numFmtId="0" fontId="13" fillId="0" borderId="19" xfId="7" applyFont="1" applyBorder="1" applyProtection="1">
      <protection locked="0"/>
    </xf>
    <xf numFmtId="6" fontId="13" fillId="0" borderId="19" xfId="7" applyNumberFormat="1" applyFont="1" applyBorder="1" applyProtection="1">
      <protection locked="0"/>
    </xf>
    <xf numFmtId="167" fontId="13" fillId="0" borderId="19" xfId="7" applyNumberFormat="1" applyFont="1" applyBorder="1" applyProtection="1">
      <protection locked="0"/>
    </xf>
    <xf numFmtId="10" fontId="13" fillId="0" borderId="15" xfId="7" applyNumberFormat="1" applyFont="1" applyBorder="1" applyProtection="1">
      <protection locked="0"/>
    </xf>
    <xf numFmtId="10" fontId="13" fillId="0" borderId="20" xfId="7" applyNumberFormat="1" applyFont="1" applyBorder="1" applyProtection="1">
      <protection locked="0"/>
    </xf>
    <xf numFmtId="0" fontId="22" fillId="0" borderId="21" xfId="7" applyFont="1" applyBorder="1" applyProtection="1">
      <protection locked="0"/>
    </xf>
    <xf numFmtId="0" fontId="13" fillId="0" borderId="21" xfId="7" applyFont="1" applyBorder="1" applyProtection="1">
      <protection locked="0"/>
    </xf>
    <xf numFmtId="6" fontId="13" fillId="0" borderId="21" xfId="7" applyNumberFormat="1" applyFont="1" applyBorder="1" applyProtection="1">
      <protection locked="0"/>
    </xf>
    <xf numFmtId="167" fontId="13" fillId="0" borderId="21" xfId="7" applyNumberFormat="1" applyFont="1" applyBorder="1" applyProtection="1">
      <protection locked="0"/>
    </xf>
    <xf numFmtId="10" fontId="13" fillId="0" borderId="0" xfId="7" applyNumberFormat="1" applyFont="1" applyBorder="1" applyProtection="1">
      <protection locked="0"/>
    </xf>
    <xf numFmtId="0" fontId="0" fillId="0" borderId="0" xfId="7" applyFont="1" applyProtection="1">
      <protection locked="0"/>
    </xf>
    <xf numFmtId="165" fontId="11" fillId="0" borderId="5" xfId="7" applyNumberFormat="1" applyFont="1" applyBorder="1" applyProtection="1">
      <protection locked="0"/>
    </xf>
    <xf numFmtId="0" fontId="2" fillId="0" borderId="0" xfId="8"/>
    <xf numFmtId="164" fontId="30" fillId="0" borderId="0" xfId="4" applyNumberFormat="1" applyFont="1" applyFill="1" applyAlignment="1">
      <alignment horizontal="centerContinuous"/>
    </xf>
    <xf numFmtId="164" fontId="30" fillId="0" borderId="0" xfId="4" applyNumberFormat="1" applyFont="1" applyFill="1" applyBorder="1" applyAlignment="1">
      <alignment horizontal="centerContinuous"/>
    </xf>
    <xf numFmtId="37" fontId="13" fillId="0" borderId="0" xfId="4" applyNumberFormat="1" applyFont="1" applyFill="1" applyProtection="1"/>
    <xf numFmtId="164" fontId="13" fillId="0" borderId="0" xfId="4" applyNumberFormat="1" applyFont="1" applyFill="1" applyBorder="1"/>
    <xf numFmtId="164" fontId="13" fillId="0" borderId="0" xfId="4" applyNumberFormat="1" applyFont="1" applyFill="1"/>
    <xf numFmtId="37" fontId="22" fillId="0" borderId="0" xfId="4" applyNumberFormat="1" applyFont="1" applyFill="1" applyProtection="1"/>
    <xf numFmtId="164" fontId="22" fillId="0" borderId="0" xfId="4" applyNumberFormat="1" applyFont="1" applyFill="1" applyBorder="1" applyAlignment="1">
      <alignment horizontal="center"/>
    </xf>
    <xf numFmtId="164" fontId="22" fillId="0" borderId="0" xfId="4" applyNumberFormat="1" applyFont="1" applyFill="1" applyAlignment="1">
      <alignment horizontal="center"/>
    </xf>
    <xf numFmtId="37" fontId="22" fillId="0" borderId="0" xfId="4" applyNumberFormat="1" applyFont="1" applyFill="1" applyAlignment="1" applyProtection="1">
      <alignment horizontal="center"/>
    </xf>
    <xf numFmtId="37" fontId="22" fillId="0" borderId="0" xfId="4" applyNumberFormat="1" applyFont="1" applyFill="1" applyBorder="1" applyAlignment="1" applyProtection="1">
      <alignment horizontal="center"/>
    </xf>
    <xf numFmtId="37" fontId="22" fillId="0" borderId="1" xfId="4" quotePrefix="1" applyNumberFormat="1" applyFont="1" applyFill="1" applyBorder="1" applyAlignment="1" applyProtection="1">
      <alignment horizontal="center"/>
    </xf>
    <xf numFmtId="164" fontId="22" fillId="0" borderId="2" xfId="4" quotePrefix="1" applyNumberFormat="1" applyFont="1" applyFill="1" applyBorder="1" applyAlignment="1">
      <alignment horizontal="center"/>
    </xf>
    <xf numFmtId="164" fontId="22" fillId="0" borderId="2" xfId="4" applyNumberFormat="1" applyFont="1" applyFill="1" applyBorder="1" applyAlignment="1">
      <alignment horizontal="center"/>
    </xf>
    <xf numFmtId="166" fontId="13" fillId="0" borderId="0" xfId="4" applyNumberFormat="1" applyFont="1" applyFill="1" applyProtection="1"/>
    <xf numFmtId="37" fontId="13" fillId="0" borderId="0" xfId="4" applyNumberFormat="1" applyFont="1" applyFill="1" applyProtection="1">
      <protection locked="0"/>
    </xf>
    <xf numFmtId="7" fontId="13" fillId="0" borderId="0" xfId="4" applyNumberFormat="1" applyFont="1" applyFill="1" applyBorder="1" applyProtection="1">
      <protection locked="0"/>
    </xf>
    <xf numFmtId="5" fontId="13" fillId="0" borderId="0" xfId="4" applyNumberFormat="1" applyFont="1" applyFill="1" applyProtection="1"/>
    <xf numFmtId="37" fontId="13" fillId="0" borderId="0" xfId="4" applyNumberFormat="1" applyFont="1" applyFill="1" applyBorder="1" applyProtection="1"/>
    <xf numFmtId="168" fontId="13" fillId="0" borderId="0" xfId="4" applyNumberFormat="1" applyFont="1" applyFill="1" applyProtection="1">
      <protection locked="0"/>
    </xf>
    <xf numFmtId="0" fontId="13" fillId="0" borderId="0" xfId="0" applyFont="1" applyBorder="1"/>
    <xf numFmtId="169" fontId="13" fillId="0" borderId="0" xfId="4" applyNumberFormat="1" applyFont="1" applyFill="1" applyProtection="1">
      <protection locked="0"/>
    </xf>
    <xf numFmtId="7" fontId="13" fillId="0" borderId="0" xfId="4" applyNumberFormat="1" applyFont="1" applyFill="1" applyBorder="1" applyProtection="1"/>
    <xf numFmtId="5" fontId="13" fillId="0" borderId="0" xfId="4" applyNumberFormat="1" applyFont="1" applyFill="1" applyBorder="1" applyProtection="1"/>
    <xf numFmtId="37" fontId="13" fillId="0" borderId="2" xfId="4" applyNumberFormat="1" applyFont="1" applyFill="1" applyBorder="1" applyProtection="1"/>
    <xf numFmtId="5" fontId="13" fillId="0" borderId="2" xfId="4" applyNumberFormat="1" applyFont="1" applyFill="1" applyBorder="1" applyProtection="1"/>
    <xf numFmtId="37" fontId="13" fillId="0" borderId="12" xfId="4" applyNumberFormat="1" applyFont="1" applyFill="1" applyBorder="1" applyProtection="1"/>
    <xf numFmtId="164" fontId="13" fillId="0" borderId="12" xfId="4" applyNumberFormat="1" applyFont="1" applyFill="1" applyBorder="1"/>
    <xf numFmtId="5" fontId="13" fillId="0" borderId="12" xfId="4" applyNumberFormat="1" applyFont="1" applyFill="1" applyBorder="1" applyProtection="1"/>
    <xf numFmtId="10" fontId="13" fillId="0" borderId="0" xfId="3" applyNumberFormat="1" applyFont="1" applyFill="1"/>
    <xf numFmtId="10" fontId="13" fillId="0" borderId="0" xfId="3" applyNumberFormat="1" applyFont="1" applyFill="1" applyBorder="1"/>
    <xf numFmtId="171" fontId="13" fillId="0" borderId="0" xfId="4" applyNumberFormat="1" applyFont="1" applyFill="1" applyProtection="1"/>
    <xf numFmtId="169" fontId="13" fillId="0" borderId="0" xfId="4" applyNumberFormat="1" applyFont="1" applyFill="1" applyBorder="1" applyProtection="1">
      <protection locked="0"/>
    </xf>
    <xf numFmtId="172" fontId="13" fillId="0" borderId="0" xfId="3" applyNumberFormat="1" applyFont="1" applyFill="1"/>
    <xf numFmtId="173" fontId="13" fillId="0" borderId="0" xfId="4" applyNumberFormat="1" applyFont="1" applyFill="1" applyProtection="1">
      <protection locked="0"/>
    </xf>
    <xf numFmtId="164" fontId="13" fillId="0" borderId="13" xfId="4" applyNumberFormat="1" applyFont="1" applyFill="1" applyBorder="1"/>
    <xf numFmtId="5" fontId="13" fillId="0" borderId="13" xfId="4" applyNumberFormat="1" applyFont="1" applyFill="1" applyBorder="1" applyProtection="1"/>
    <xf numFmtId="37" fontId="13" fillId="0" borderId="13" xfId="4" applyNumberFormat="1" applyFont="1" applyFill="1" applyBorder="1" applyProtection="1"/>
    <xf numFmtId="169" fontId="13" fillId="0" borderId="13" xfId="4" applyNumberFormat="1" applyFont="1" applyFill="1" applyBorder="1" applyProtection="1"/>
    <xf numFmtId="169" fontId="13" fillId="0" borderId="0" xfId="4" applyNumberFormat="1" applyFont="1" applyFill="1" applyBorder="1" applyProtection="1"/>
    <xf numFmtId="169" fontId="13" fillId="0" borderId="0" xfId="4" applyNumberFormat="1" applyFont="1" applyFill="1" applyProtection="1"/>
    <xf numFmtId="7" fontId="13" fillId="0" borderId="0" xfId="4" applyNumberFormat="1" applyFont="1" applyFill="1" applyProtection="1"/>
    <xf numFmtId="10" fontId="13" fillId="0" borderId="0" xfId="3" applyNumberFormat="1" applyFont="1" applyFill="1" applyProtection="1"/>
    <xf numFmtId="173" fontId="13" fillId="0" borderId="0" xfId="4" applyNumberFormat="1" applyFont="1" applyFill="1" applyProtection="1"/>
    <xf numFmtId="37" fontId="13" fillId="0" borderId="1" xfId="4" applyNumberFormat="1" applyFont="1" applyFill="1" applyBorder="1" applyProtection="1">
      <protection locked="0"/>
    </xf>
    <xf numFmtId="164" fontId="13" fillId="0" borderId="1" xfId="4" applyNumberFormat="1" applyFont="1" applyFill="1" applyBorder="1"/>
    <xf numFmtId="5" fontId="13" fillId="0" borderId="1" xfId="4" applyNumberFormat="1" applyFont="1" applyFill="1" applyBorder="1" applyProtection="1"/>
    <xf numFmtId="37" fontId="13" fillId="0" borderId="12" xfId="4" applyNumberFormat="1" applyFont="1" applyFill="1" applyBorder="1" applyProtection="1">
      <protection locked="0"/>
    </xf>
    <xf numFmtId="170" fontId="13" fillId="0" borderId="0" xfId="4" applyNumberFormat="1" applyFont="1" applyFill="1" applyProtection="1">
      <protection locked="0"/>
    </xf>
    <xf numFmtId="0" fontId="31" fillId="0" borderId="0" xfId="5" applyFont="1" applyFill="1"/>
    <xf numFmtId="0" fontId="31" fillId="0" borderId="0" xfId="5" applyFont="1" applyBorder="1"/>
    <xf numFmtId="0" fontId="31" fillId="0" borderId="0" xfId="5" applyFont="1"/>
    <xf numFmtId="164" fontId="13" fillId="0" borderId="0" xfId="4" applyNumberFormat="1" applyFont="1" applyFill="1" applyProtection="1">
      <protection locked="0"/>
    </xf>
    <xf numFmtId="176" fontId="13" fillId="0" borderId="0" xfId="4" applyNumberFormat="1" applyFont="1" applyFill="1" applyProtection="1">
      <protection locked="0"/>
    </xf>
    <xf numFmtId="37" fontId="13" fillId="0" borderId="16" xfId="4" applyNumberFormat="1" applyFont="1" applyFill="1" applyBorder="1" applyProtection="1"/>
    <xf numFmtId="164" fontId="13" fillId="0" borderId="2" xfId="4" applyNumberFormat="1" applyFont="1" applyFill="1" applyBorder="1"/>
    <xf numFmtId="37" fontId="13" fillId="0" borderId="13" xfId="4" applyNumberFormat="1" applyFont="1" applyFill="1" applyBorder="1" applyProtection="1">
      <protection locked="0"/>
    </xf>
    <xf numFmtId="37" fontId="13" fillId="0" borderId="2" xfId="4" applyNumberFormat="1" applyFont="1" applyFill="1" applyBorder="1" applyProtection="1">
      <protection locked="0"/>
    </xf>
    <xf numFmtId="165" fontId="13" fillId="0" borderId="13" xfId="1" applyNumberFormat="1" applyFont="1" applyFill="1" applyBorder="1"/>
    <xf numFmtId="165" fontId="13" fillId="0" borderId="0" xfId="1" applyNumberFormat="1" applyFont="1" applyFill="1" applyBorder="1"/>
    <xf numFmtId="174" fontId="13" fillId="0" borderId="0" xfId="1" applyNumberFormat="1" applyFont="1" applyFill="1" applyBorder="1" applyProtection="1">
      <protection locked="0"/>
    </xf>
    <xf numFmtId="7" fontId="13" fillId="0" borderId="1" xfId="4" applyNumberFormat="1" applyFont="1" applyFill="1" applyBorder="1" applyProtection="1">
      <protection locked="0"/>
    </xf>
    <xf numFmtId="37" fontId="13" fillId="0" borderId="0" xfId="4" applyNumberFormat="1" applyFont="1" applyFill="1" applyBorder="1" applyProtection="1">
      <protection locked="0"/>
    </xf>
    <xf numFmtId="179" fontId="13" fillId="0" borderId="0" xfId="4" applyNumberFormat="1" applyFont="1" applyFill="1" applyProtection="1"/>
    <xf numFmtId="37" fontId="13" fillId="0" borderId="1" xfId="4" applyNumberFormat="1" applyFont="1" applyFill="1" applyBorder="1" applyProtection="1"/>
    <xf numFmtId="174" fontId="13" fillId="0" borderId="0" xfId="1" applyNumberFormat="1" applyFont="1" applyFill="1" applyProtection="1">
      <protection locked="0"/>
    </xf>
    <xf numFmtId="180" fontId="13" fillId="0" borderId="0" xfId="4" applyNumberFormat="1" applyFont="1" applyFill="1" applyProtection="1">
      <protection locked="0"/>
    </xf>
    <xf numFmtId="180" fontId="13" fillId="0" borderId="0" xfId="4" applyNumberFormat="1" applyFont="1" applyFill="1" applyBorder="1" applyProtection="1">
      <protection locked="0"/>
    </xf>
    <xf numFmtId="180" fontId="13" fillId="0" borderId="0" xfId="4" applyNumberFormat="1" applyFont="1" applyFill="1" applyProtection="1"/>
    <xf numFmtId="180" fontId="13" fillId="0" borderId="0" xfId="4" applyNumberFormat="1" applyFont="1" applyFill="1" applyBorder="1" applyProtection="1"/>
    <xf numFmtId="173" fontId="13" fillId="0" borderId="1" xfId="4" applyNumberFormat="1" applyFont="1" applyFill="1" applyBorder="1" applyProtection="1"/>
    <xf numFmtId="5" fontId="13" fillId="0" borderId="0" xfId="4" applyNumberFormat="1" applyFont="1" applyFill="1" applyProtection="1">
      <protection locked="0"/>
    </xf>
    <xf numFmtId="164" fontId="13" fillId="0" borderId="0" xfId="4" applyNumberFormat="1" applyFont="1" applyFill="1" applyProtection="1"/>
    <xf numFmtId="164" fontId="13" fillId="0" borderId="0" xfId="4" applyNumberFormat="1" applyFont="1" applyFill="1" applyBorder="1" applyProtection="1"/>
    <xf numFmtId="5" fontId="13" fillId="0" borderId="1" xfId="4" applyNumberFormat="1" applyFont="1" applyFill="1" applyBorder="1" applyProtection="1">
      <protection locked="0"/>
    </xf>
    <xf numFmtId="174" fontId="13" fillId="0" borderId="0" xfId="1" applyNumberFormat="1" applyFont="1" applyFill="1" applyProtection="1"/>
    <xf numFmtId="174" fontId="13" fillId="0" borderId="0" xfId="1" applyNumberFormat="1" applyFont="1" applyFill="1" applyBorder="1" applyProtection="1"/>
    <xf numFmtId="37" fontId="13" fillId="0" borderId="17" xfId="4" applyNumberFormat="1" applyFont="1" applyFill="1" applyBorder="1" applyProtection="1"/>
    <xf numFmtId="169" fontId="13" fillId="0" borderId="12" xfId="4" applyNumberFormat="1" applyFont="1" applyFill="1" applyBorder="1" applyProtection="1"/>
    <xf numFmtId="5" fontId="13" fillId="0" borderId="17" xfId="4" applyNumberFormat="1" applyFont="1" applyFill="1" applyBorder="1" applyProtection="1"/>
    <xf numFmtId="164" fontId="13" fillId="0" borderId="0" xfId="4" applyNumberFormat="1" applyFont="1" applyFill="1" applyBorder="1" applyProtection="1">
      <protection locked="0"/>
    </xf>
    <xf numFmtId="5" fontId="13" fillId="0" borderId="0" xfId="4" applyNumberFormat="1" applyFont="1" applyFill="1" applyBorder="1" applyProtection="1">
      <protection locked="0"/>
    </xf>
    <xf numFmtId="7" fontId="13" fillId="0" borderId="2" xfId="4" applyNumberFormat="1" applyFont="1" applyFill="1" applyBorder="1" applyProtection="1">
      <protection locked="0"/>
    </xf>
    <xf numFmtId="175" fontId="13" fillId="0" borderId="0" xfId="1" applyNumberFormat="1" applyFont="1" applyFill="1"/>
    <xf numFmtId="175" fontId="13" fillId="0" borderId="1" xfId="1" applyNumberFormat="1" applyFont="1" applyFill="1" applyBorder="1"/>
    <xf numFmtId="169" fontId="13" fillId="0" borderId="1" xfId="4" applyNumberFormat="1" applyFont="1" applyFill="1" applyBorder="1" applyProtection="1"/>
    <xf numFmtId="175" fontId="13" fillId="0" borderId="12" xfId="1" applyNumberFormat="1" applyFont="1" applyFill="1" applyBorder="1"/>
    <xf numFmtId="169" fontId="11" fillId="0" borderId="0" xfId="4" applyNumberFormat="1" applyFont="1" applyFill="1" applyProtection="1">
      <protection locked="0"/>
    </xf>
    <xf numFmtId="169" fontId="32" fillId="0" borderId="0" xfId="4" applyNumberFormat="1" applyFont="1" applyFill="1" applyProtection="1"/>
  </cellXfs>
  <cellStyles count="27">
    <cellStyle name="Comma" xfId="1" builtinId="3"/>
    <cellStyle name="Comma 2" xfId="9"/>
    <cellStyle name="Currency" xfId="2" builtinId="4"/>
    <cellStyle name="Currency 2" xfId="10"/>
    <cellStyle name="General" xfId="11"/>
    <cellStyle name="nONE" xfId="12"/>
    <cellStyle name="Normal" xfId="0" builtinId="0"/>
    <cellStyle name="Normal 2" xfId="13"/>
    <cellStyle name="Normal 2 2" xfId="7"/>
    <cellStyle name="Normal 3" xfId="8"/>
    <cellStyle name="Normal 3 2" xfId="14"/>
    <cellStyle name="Normal 4" xfId="15"/>
    <cellStyle name="Normal 5" xfId="16"/>
    <cellStyle name="Normal 6" xfId="17"/>
    <cellStyle name="Normal 7" xfId="18"/>
    <cellStyle name="Normal 8" xfId="19"/>
    <cellStyle name="Normal_Blocking 03-01" xfId="6"/>
    <cellStyle name="Normal_Blocking 09-00" xfId="4"/>
    <cellStyle name="Normal_Book4" xfId="5"/>
    <cellStyle name="Percent" xfId="3" builtinId="5"/>
    <cellStyle name="Percent 2" xfId="20"/>
    <cellStyle name="Percent 2 2" xfId="21"/>
    <cellStyle name="Percent 3" xfId="22"/>
    <cellStyle name="Percent 4" xfId="23"/>
    <cellStyle name="Percent 5" xfId="24"/>
    <cellStyle name="Percent 6" xfId="25"/>
    <cellStyle name="TRANSMISSION RELIABILITY PORTION OF PROJECT" xfId="26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857"/>
  <sheetViews>
    <sheetView tabSelected="1" view="pageBreakPreview" zoomScale="60" zoomScaleNormal="75" workbookViewId="0">
      <selection activeCell="V573" sqref="V573"/>
    </sheetView>
  </sheetViews>
  <sheetFormatPr defaultColWidth="9" defaultRowHeight="15.75"/>
  <cols>
    <col min="1" max="1" width="33.25" style="15" customWidth="1"/>
    <col min="2" max="2" width="2.625" style="16" customWidth="1"/>
    <col min="3" max="3" width="15.125" style="409" customWidth="1"/>
    <col min="4" max="4" width="1" style="408" customWidth="1"/>
    <col min="5" max="5" width="15.125" style="409" customWidth="1"/>
    <col min="6" max="6" width="1" style="408" customWidth="1"/>
    <col min="7" max="7" width="11" style="409" customWidth="1"/>
    <col min="8" max="8" width="2.125" style="408" customWidth="1"/>
    <col min="9" max="9" width="16.75" style="409" customWidth="1"/>
    <col min="10" max="10" width="1.375" style="408" customWidth="1"/>
    <col min="11" max="11" width="19.25" style="409" customWidth="1"/>
    <col min="12" max="12" width="1" style="17" customWidth="1"/>
    <col min="13" max="13" width="12.875" style="16" customWidth="1"/>
    <col min="14" max="14" width="2.125" style="17" customWidth="1"/>
    <col min="15" max="15" width="14.5" style="16" customWidth="1"/>
    <col min="16" max="16" width="1" style="17" customWidth="1"/>
    <col min="17" max="17" width="12.875" style="18" customWidth="1"/>
    <col min="18" max="18" width="2.125" style="17" customWidth="1"/>
    <col min="19" max="19" width="14.5" style="19" customWidth="1"/>
    <col min="20" max="20" width="2.375" style="16" customWidth="1"/>
    <col min="21" max="21" width="18" style="16" customWidth="1"/>
    <col min="22" max="22" width="13.5" style="11" customWidth="1"/>
    <col min="23" max="23" width="19.5" style="11" bestFit="1" customWidth="1"/>
    <col min="24" max="24" width="9.875" style="11" bestFit="1" customWidth="1"/>
    <col min="25" max="25" width="11.5" style="11" customWidth="1"/>
    <col min="26" max="26" width="7.25" style="11" bestFit="1" customWidth="1"/>
    <col min="27" max="27" width="9" style="11" bestFit="1" customWidth="1"/>
    <col min="28" max="28" width="6.75" style="11" bestFit="1" customWidth="1"/>
    <col min="29" max="16384" width="9" style="11"/>
  </cols>
  <sheetData>
    <row r="1" spans="1:27" ht="18.75">
      <c r="A1" s="1" t="s">
        <v>0</v>
      </c>
      <c r="B1" s="2"/>
      <c r="C1" s="405"/>
      <c r="D1" s="406"/>
      <c r="E1" s="405"/>
      <c r="F1" s="406"/>
      <c r="G1" s="405"/>
      <c r="H1" s="406"/>
      <c r="I1" s="405"/>
      <c r="J1" s="406"/>
      <c r="K1" s="405"/>
      <c r="L1" s="3"/>
      <c r="M1" s="2"/>
      <c r="N1" s="3"/>
      <c r="O1" s="4"/>
      <c r="P1" s="3"/>
      <c r="Q1" s="5"/>
      <c r="R1" s="3"/>
      <c r="S1" s="6"/>
      <c r="T1" s="7"/>
      <c r="U1" s="7"/>
      <c r="V1" s="8"/>
      <c r="W1" s="9"/>
      <c r="X1" s="10"/>
      <c r="Y1" s="10"/>
      <c r="Z1" s="10"/>
    </row>
    <row r="2" spans="1:27" ht="18.75">
      <c r="A2" s="1" t="s">
        <v>1</v>
      </c>
      <c r="B2" s="2"/>
      <c r="C2" s="405"/>
      <c r="D2" s="406"/>
      <c r="E2" s="405"/>
      <c r="F2" s="406"/>
      <c r="G2" s="405"/>
      <c r="H2" s="406"/>
      <c r="I2" s="405"/>
      <c r="J2" s="406"/>
      <c r="K2" s="405"/>
      <c r="L2" s="3"/>
      <c r="M2" s="2"/>
      <c r="N2" s="3"/>
      <c r="O2" s="4"/>
      <c r="P2" s="3"/>
      <c r="Q2" s="5"/>
      <c r="R2" s="3"/>
      <c r="S2" s="6"/>
      <c r="T2" s="12"/>
      <c r="U2" s="12"/>
      <c r="V2" s="8"/>
      <c r="W2" s="9"/>
      <c r="X2" s="10"/>
      <c r="Y2" s="10"/>
      <c r="Z2" s="10"/>
    </row>
    <row r="3" spans="1:27" ht="18.75">
      <c r="A3" s="1" t="s">
        <v>448</v>
      </c>
      <c r="B3" s="2"/>
      <c r="C3" s="405"/>
      <c r="D3" s="406"/>
      <c r="E3" s="405"/>
      <c r="F3" s="406"/>
      <c r="G3" s="405"/>
      <c r="H3" s="406"/>
      <c r="I3" s="405"/>
      <c r="J3" s="406"/>
      <c r="K3" s="405"/>
      <c r="L3" s="3"/>
      <c r="M3" s="2"/>
      <c r="N3" s="3"/>
      <c r="O3" s="4"/>
      <c r="P3" s="3"/>
      <c r="Q3" s="5"/>
      <c r="R3" s="3"/>
      <c r="S3" s="6"/>
      <c r="T3" s="12"/>
      <c r="U3" s="12"/>
      <c r="V3" s="8"/>
      <c r="W3" s="9"/>
      <c r="X3" s="10"/>
      <c r="Y3" s="10"/>
      <c r="Z3" s="10"/>
    </row>
    <row r="4" spans="1:27" ht="18.75">
      <c r="A4" s="1" t="s">
        <v>449</v>
      </c>
      <c r="B4" s="2"/>
      <c r="C4" s="405"/>
      <c r="D4" s="406"/>
      <c r="E4" s="405"/>
      <c r="F4" s="406"/>
      <c r="G4" s="405"/>
      <c r="H4" s="406"/>
      <c r="I4" s="405"/>
      <c r="J4" s="406"/>
      <c r="K4" s="405"/>
      <c r="L4" s="3"/>
      <c r="M4" s="2"/>
      <c r="N4" s="3"/>
      <c r="O4" s="4"/>
      <c r="P4" s="3"/>
      <c r="Q4" s="5"/>
      <c r="R4" s="3"/>
      <c r="S4" s="6"/>
      <c r="T4" s="12"/>
      <c r="U4" s="12"/>
      <c r="V4" s="13"/>
      <c r="W4" s="14"/>
      <c r="X4" s="10"/>
      <c r="Y4" s="10"/>
      <c r="Z4" s="10"/>
    </row>
    <row r="5" spans="1:27">
      <c r="C5" s="407"/>
      <c r="E5" s="407"/>
      <c r="T5" s="20"/>
      <c r="U5" s="20"/>
      <c r="V5" s="20"/>
      <c r="W5" s="21"/>
    </row>
    <row r="6" spans="1:27" ht="32.25" customHeight="1">
      <c r="C6" s="410"/>
      <c r="E6" s="410"/>
      <c r="H6" s="411"/>
      <c r="I6" s="412"/>
      <c r="K6" s="412"/>
      <c r="N6" s="12"/>
      <c r="O6" s="22"/>
      <c r="R6" s="12"/>
      <c r="S6" s="23"/>
      <c r="T6" s="22"/>
    </row>
    <row r="7" spans="1:27">
      <c r="C7" s="413"/>
      <c r="E7" s="413"/>
      <c r="G7" s="412"/>
      <c r="H7" s="411"/>
      <c r="I7" s="412" t="s">
        <v>2</v>
      </c>
      <c r="K7" s="412" t="s">
        <v>3</v>
      </c>
      <c r="M7" s="24" t="s">
        <v>415</v>
      </c>
      <c r="N7" s="24"/>
      <c r="O7" s="24"/>
      <c r="Q7" s="25" t="s">
        <v>4</v>
      </c>
      <c r="R7" s="24"/>
      <c r="S7" s="26"/>
      <c r="T7" s="22"/>
      <c r="U7" s="27"/>
      <c r="V7" s="28"/>
    </row>
    <row r="8" spans="1:27">
      <c r="C8" s="414" t="s">
        <v>5</v>
      </c>
      <c r="E8" s="414" t="s">
        <v>3</v>
      </c>
      <c r="G8" s="412" t="s">
        <v>2</v>
      </c>
      <c r="H8" s="411"/>
      <c r="I8" s="412" t="s">
        <v>6</v>
      </c>
      <c r="K8" s="412" t="s">
        <v>6</v>
      </c>
      <c r="M8" s="22" t="s">
        <v>7</v>
      </c>
      <c r="N8" s="12"/>
      <c r="O8" s="22" t="s">
        <v>6</v>
      </c>
      <c r="Q8" s="29" t="s">
        <v>7</v>
      </c>
      <c r="R8" s="12"/>
      <c r="S8" s="23" t="s">
        <v>6</v>
      </c>
      <c r="T8" s="22"/>
      <c r="U8" s="30"/>
      <c r="V8" s="16"/>
    </row>
    <row r="9" spans="1:27">
      <c r="C9" s="415" t="s">
        <v>8</v>
      </c>
      <c r="E9" s="415" t="s">
        <v>9</v>
      </c>
      <c r="G9" s="416" t="s">
        <v>10</v>
      </c>
      <c r="H9" s="411"/>
      <c r="I9" s="417" t="s">
        <v>11</v>
      </c>
      <c r="K9" s="417" t="s">
        <v>11</v>
      </c>
      <c r="M9" s="31" t="s">
        <v>10</v>
      </c>
      <c r="N9" s="12"/>
      <c r="O9" s="31" t="s">
        <v>11</v>
      </c>
      <c r="Q9" s="32" t="s">
        <v>10</v>
      </c>
      <c r="R9" s="12"/>
      <c r="S9" s="33" t="s">
        <v>11</v>
      </c>
      <c r="T9" s="12"/>
      <c r="U9" s="34"/>
      <c r="V9" s="35"/>
      <c r="W9" s="36"/>
    </row>
    <row r="10" spans="1:27">
      <c r="A10" s="37" t="s">
        <v>12</v>
      </c>
      <c r="C10" s="418"/>
      <c r="E10" s="407"/>
      <c r="Y10" s="38"/>
      <c r="Z10" s="39"/>
      <c r="AA10" s="39"/>
    </row>
    <row r="11" spans="1:27">
      <c r="A11" s="40" t="s">
        <v>13</v>
      </c>
      <c r="C11" s="407">
        <v>7995934.8769736998</v>
      </c>
      <c r="E11" s="419">
        <v>8178018.8566054394</v>
      </c>
      <c r="G11" s="237">
        <v>3.75</v>
      </c>
      <c r="H11" s="420"/>
      <c r="I11" s="421">
        <f>ROUND($G11*C11,0)</f>
        <v>29984756</v>
      </c>
      <c r="K11" s="421">
        <f>ROUND($G11*E11,0)</f>
        <v>30667571</v>
      </c>
      <c r="M11" s="43"/>
      <c r="N11" s="42"/>
      <c r="O11" s="28">
        <f>ROUND(M11*$E11,0)</f>
        <v>0</v>
      </c>
      <c r="Q11" s="44"/>
      <c r="R11" s="42"/>
      <c r="S11" s="28"/>
      <c r="T11" s="28"/>
      <c r="V11" s="45"/>
      <c r="X11" s="45">
        <f>M11/G11-1</f>
        <v>-1</v>
      </c>
      <c r="Y11" s="39"/>
      <c r="Z11" s="39"/>
    </row>
    <row r="12" spans="1:27">
      <c r="A12" s="40" t="s">
        <v>14</v>
      </c>
      <c r="C12" s="407">
        <f>C11-C13</f>
        <v>7987455.9319736995</v>
      </c>
      <c r="E12" s="422">
        <f>ROUND(C12/C11*E11,0)</f>
        <v>8169347</v>
      </c>
      <c r="G12" s="237"/>
      <c r="H12" s="420"/>
      <c r="I12" s="421"/>
      <c r="K12" s="421"/>
      <c r="M12" s="43">
        <v>4</v>
      </c>
      <c r="N12" s="42"/>
      <c r="O12" s="28">
        <f>ROUND(M12*$E12,0)</f>
        <v>32677388</v>
      </c>
      <c r="Q12" s="44"/>
      <c r="R12" s="42"/>
      <c r="S12" s="28"/>
      <c r="T12" s="28"/>
      <c r="V12" s="45"/>
      <c r="X12" s="45"/>
      <c r="Y12" s="39"/>
      <c r="Z12" s="39"/>
    </row>
    <row r="13" spans="1:27">
      <c r="A13" s="40" t="s">
        <v>15</v>
      </c>
      <c r="C13" s="407">
        <v>8478.9449999999997</v>
      </c>
      <c r="E13" s="422">
        <f>E11-E12</f>
        <v>8671.8566054394469</v>
      </c>
      <c r="G13" s="237"/>
      <c r="H13" s="420"/>
      <c r="I13" s="421"/>
      <c r="K13" s="421"/>
      <c r="M13" s="43">
        <v>8</v>
      </c>
      <c r="N13" s="42"/>
      <c r="O13" s="28">
        <f t="shared" ref="O13" si="0">ROUND(M13*$E13,0)</f>
        <v>69375</v>
      </c>
      <c r="Q13" s="44"/>
      <c r="R13" s="42"/>
      <c r="S13" s="28"/>
      <c r="T13" s="28"/>
      <c r="V13" s="45"/>
      <c r="X13" s="45"/>
      <c r="Y13" s="39"/>
      <c r="Z13" s="39"/>
    </row>
    <row r="14" spans="1:27">
      <c r="A14" s="40" t="s">
        <v>16</v>
      </c>
      <c r="C14" s="422">
        <v>1214510836</v>
      </c>
      <c r="E14" s="419">
        <f>ROUND(C14/($C$27-$C$26)*$E$27,0)</f>
        <v>1283234719</v>
      </c>
      <c r="G14" s="423">
        <v>7.5292000000000003</v>
      </c>
      <c r="H14" s="424" t="s">
        <v>17</v>
      </c>
      <c r="I14" s="421">
        <f>ROUND($G14*C14/100,0)</f>
        <v>91442950</v>
      </c>
      <c r="K14" s="421">
        <f>ROUND($G14*E14/100,0)</f>
        <v>96617308</v>
      </c>
      <c r="M14" s="47">
        <f>ROUND(G14*(1+$V$20),4)</f>
        <v>8.4003999999999994</v>
      </c>
      <c r="N14" s="48" t="s">
        <v>17</v>
      </c>
      <c r="O14" s="28">
        <f>ROUND(M14*$E14/100,0)</f>
        <v>107796849</v>
      </c>
      <c r="Q14" s="49">
        <f>$W$19</f>
        <v>-2.64E-2</v>
      </c>
      <c r="R14" s="48"/>
      <c r="S14" s="28">
        <f>O14*Q14*254/365</f>
        <v>-1980390.5497380821</v>
      </c>
      <c r="T14" s="28"/>
      <c r="U14" s="50" t="s">
        <v>18</v>
      </c>
      <c r="V14" s="51"/>
      <c r="W14" s="52" t="s">
        <v>4</v>
      </c>
      <c r="X14" s="45">
        <f t="shared" ref="X14:X20" si="1">M14/G14-1</f>
        <v>0.11570950432980909</v>
      </c>
      <c r="Y14" s="53"/>
      <c r="Z14" s="54"/>
    </row>
    <row r="15" spans="1:27">
      <c r="A15" s="40" t="s">
        <v>19</v>
      </c>
      <c r="C15" s="422">
        <v>1001916381</v>
      </c>
      <c r="E15" s="419">
        <f>ROUND(C15/($C$27-$C$26)*$E$27,0)</f>
        <v>1058610469</v>
      </c>
      <c r="G15" s="423">
        <v>9.2749000000000006</v>
      </c>
      <c r="H15" s="424" t="s">
        <v>17</v>
      </c>
      <c r="I15" s="421">
        <f>ROUND($G15*C15/100,0)</f>
        <v>92926742</v>
      </c>
      <c r="K15" s="421">
        <f>ROUND($G15*E15/100,0)</f>
        <v>98185062</v>
      </c>
      <c r="M15" s="47">
        <f t="shared" ref="M15:M16" si="2">ROUND(G15*(1+$V$20),4)</f>
        <v>10.348100000000001</v>
      </c>
      <c r="N15" s="48" t="s">
        <v>17</v>
      </c>
      <c r="O15" s="28">
        <f>ROUND(M15*$E15/100,0)</f>
        <v>109546070</v>
      </c>
      <c r="Q15" s="49">
        <f>$W$19</f>
        <v>-2.64E-2</v>
      </c>
      <c r="R15" s="48"/>
      <c r="S15" s="28">
        <f t="shared" ref="S15:S17" si="3">O15*Q15*254/365</f>
        <v>-2012526.375320548</v>
      </c>
      <c r="T15" s="28"/>
      <c r="U15" s="55" t="s">
        <v>20</v>
      </c>
      <c r="V15" s="56">
        <f>O27+O48+O71</f>
        <v>668800405</v>
      </c>
      <c r="W15" s="57">
        <f>S27+S48+S71</f>
        <v>-11647084.68940274</v>
      </c>
      <c r="X15" s="45">
        <f t="shared" si="1"/>
        <v>0.11571014242741162</v>
      </c>
      <c r="Y15" s="58"/>
      <c r="Z15" s="59"/>
    </row>
    <row r="16" spans="1:27">
      <c r="A16" s="40" t="s">
        <v>21</v>
      </c>
      <c r="C16" s="422">
        <v>548870017.21833682</v>
      </c>
      <c r="E16" s="419">
        <f>ROUND(C16/($C$27-$C$26)*$E$27,0)</f>
        <v>579928183</v>
      </c>
      <c r="G16" s="423">
        <v>11.536099999999999</v>
      </c>
      <c r="H16" s="424" t="s">
        <v>17</v>
      </c>
      <c r="I16" s="421">
        <f>ROUND($G16*C16/100,0)</f>
        <v>63318194</v>
      </c>
      <c r="K16" s="421">
        <f>ROUND($G16*E16/100,0)</f>
        <v>66901095</v>
      </c>
      <c r="M16" s="47">
        <f t="shared" si="2"/>
        <v>12.870900000000001</v>
      </c>
      <c r="N16" s="48" t="s">
        <v>17</v>
      </c>
      <c r="O16" s="28">
        <f>ROUND(M16*$E16/100,0)</f>
        <v>74641977</v>
      </c>
      <c r="Q16" s="49">
        <f>$W$19</f>
        <v>-2.64E-2</v>
      </c>
      <c r="R16" s="48"/>
      <c r="S16" s="28">
        <f t="shared" si="3"/>
        <v>-1371285.591701918</v>
      </c>
      <c r="T16" s="28"/>
      <c r="U16" s="60" t="s">
        <v>22</v>
      </c>
      <c r="V16" s="57">
        <f>(Stipulation!C7+Stipulation!E7)*1000</f>
        <v>668799730.30686128</v>
      </c>
      <c r="W16" s="57">
        <f>Stipulation!H7*1000</f>
        <v>-11660708.508953866</v>
      </c>
      <c r="X16" s="45">
        <f t="shared" si="1"/>
        <v>0.11570634789920353</v>
      </c>
      <c r="Y16" s="61"/>
      <c r="Z16" s="45"/>
    </row>
    <row r="17" spans="1:26">
      <c r="A17" s="40" t="s">
        <v>23</v>
      </c>
      <c r="C17" s="422">
        <v>3469656771.043726</v>
      </c>
      <c r="E17" s="419">
        <f>ROUND(C17/($C$27-$C$26)*$E$27,0)</f>
        <v>3665989548</v>
      </c>
      <c r="G17" s="425">
        <v>7.8009000000000004</v>
      </c>
      <c r="H17" s="424" t="s">
        <v>17</v>
      </c>
      <c r="I17" s="421">
        <f>ROUND($G17*C17/100,0)</f>
        <v>270664455</v>
      </c>
      <c r="K17" s="421">
        <f>ROUND($G17*E17/100,0)</f>
        <v>285980179</v>
      </c>
      <c r="M17" s="63">
        <f>ROUND((V16-SUM(O11:O16,O18:O20,O32:O37,O39:O41,O53:O60,O62:O64))/SUM(E17,E38,E61)*100,4)</f>
        <v>8.7035</v>
      </c>
      <c r="N17" s="48" t="s">
        <v>17</v>
      </c>
      <c r="O17" s="28">
        <f>ROUND(M17*$E17/100,0)</f>
        <v>319069400</v>
      </c>
      <c r="Q17" s="49">
        <f>$W$19</f>
        <v>-2.64E-2</v>
      </c>
      <c r="R17" s="48"/>
      <c r="S17" s="28">
        <f t="shared" si="3"/>
        <v>-5861785.6675068494</v>
      </c>
      <c r="T17" s="28"/>
      <c r="U17" s="64" t="s">
        <v>24</v>
      </c>
      <c r="V17" s="65">
        <f>V16-V15</f>
        <v>-674.69313871860504</v>
      </c>
      <c r="W17" s="65">
        <f>W16-W15</f>
        <v>-13623.819551125169</v>
      </c>
      <c r="X17" s="45">
        <f t="shared" si="1"/>
        <v>0.11570459818738854</v>
      </c>
      <c r="Y17" s="61"/>
      <c r="Z17" s="66"/>
    </row>
    <row r="18" spans="1:26">
      <c r="A18" s="40" t="s">
        <v>25</v>
      </c>
      <c r="C18" s="407">
        <v>76137.93770000049</v>
      </c>
      <c r="E18" s="419">
        <v>77872</v>
      </c>
      <c r="G18" s="237">
        <v>3.78</v>
      </c>
      <c r="H18" s="420"/>
      <c r="I18" s="421">
        <f>ROUND($G18*C18,0)</f>
        <v>287801</v>
      </c>
      <c r="K18" s="421">
        <f>ROUND($G18*E18,0)</f>
        <v>294356</v>
      </c>
      <c r="M18" s="67">
        <v>7</v>
      </c>
      <c r="N18" s="42"/>
      <c r="O18" s="28">
        <f>ROUND(M18*$E18,0)</f>
        <v>545104</v>
      </c>
      <c r="Q18" s="68"/>
      <c r="R18" s="42"/>
      <c r="S18" s="28"/>
      <c r="T18" s="28"/>
      <c r="U18" s="69" t="s">
        <v>26</v>
      </c>
      <c r="V18" s="70">
        <f>V15/(K27+K48+K71)-1</f>
        <v>0.11350896385910891</v>
      </c>
      <c r="W18" s="39"/>
      <c r="X18" s="45">
        <f t="shared" si="1"/>
        <v>0.85185185185185186</v>
      </c>
      <c r="Y18" s="61"/>
      <c r="Z18" s="61"/>
    </row>
    <row r="19" spans="1:26">
      <c r="A19" s="40" t="s">
        <v>27</v>
      </c>
      <c r="C19" s="407">
        <v>385.37670000000003</v>
      </c>
      <c r="E19" s="419">
        <v>394</v>
      </c>
      <c r="G19" s="237">
        <v>11.34</v>
      </c>
      <c r="H19" s="426"/>
      <c r="I19" s="421">
        <f>ROUND($G19*C19,0)</f>
        <v>4370</v>
      </c>
      <c r="K19" s="421">
        <f>ROUND($G19*E19,0)</f>
        <v>4468</v>
      </c>
      <c r="M19" s="72">
        <v>14</v>
      </c>
      <c r="N19" s="71"/>
      <c r="O19" s="28">
        <f>ROUND(M19*$E19,0)</f>
        <v>5516</v>
      </c>
      <c r="Q19" s="73"/>
      <c r="R19" s="71"/>
      <c r="S19" s="28"/>
      <c r="T19" s="28"/>
      <c r="U19" s="74" t="s">
        <v>28</v>
      </c>
      <c r="V19" s="75">
        <f>V16/(K27+K48+K71)-1</f>
        <v>0.11350784053912855</v>
      </c>
      <c r="W19" s="49">
        <f>ROUND(W16/SUM(O14:O17,O35:O38,O58:O61)*365/254,4)</f>
        <v>-2.64E-2</v>
      </c>
      <c r="X19" s="45">
        <f t="shared" si="1"/>
        <v>0.23456790123456783</v>
      </c>
      <c r="Y19" s="61"/>
      <c r="Z19" s="76"/>
    </row>
    <row r="20" spans="1:26">
      <c r="A20" s="40" t="s">
        <v>29</v>
      </c>
      <c r="C20" s="422">
        <v>0</v>
      </c>
      <c r="E20" s="419">
        <v>0</v>
      </c>
      <c r="G20" s="237">
        <v>47.36</v>
      </c>
      <c r="H20" s="426"/>
      <c r="I20" s="421">
        <f>ROUND($G20*C20,0)</f>
        <v>0</v>
      </c>
      <c r="K20" s="421">
        <f>ROUND($G20*E20,0)</f>
        <v>0</v>
      </c>
      <c r="M20" s="78">
        <f>M18*12</f>
        <v>84</v>
      </c>
      <c r="N20" s="77"/>
      <c r="O20" s="79">
        <f>ROUND(M20*$E20,0)</f>
        <v>0</v>
      </c>
      <c r="Q20" s="80"/>
      <c r="R20" s="77"/>
      <c r="S20" s="79"/>
      <c r="T20" s="28"/>
      <c r="U20" s="74" t="s">
        <v>30</v>
      </c>
      <c r="V20" s="81">
        <f>(V16-SUM(O11:O13,O18:O20,O32:O34,O39:O41,O53:O57,O62:O64))/SUM(K14:K17,K35:K38,K58:K61)-1</f>
        <v>0.11570548734495367</v>
      </c>
      <c r="X20" s="45">
        <f t="shared" si="1"/>
        <v>0.77364864864864868</v>
      </c>
      <c r="Y20" s="61"/>
      <c r="Z20" s="61"/>
    </row>
    <row r="21" spans="1:26">
      <c r="A21" s="82" t="s">
        <v>31</v>
      </c>
      <c r="C21" s="422">
        <f>SUM(C22:C25)</f>
        <v>162635</v>
      </c>
      <c r="E21" s="422">
        <f>SUM(E22:E25)</f>
        <v>171837.26184463501</v>
      </c>
      <c r="G21" s="425"/>
      <c r="H21" s="424"/>
      <c r="I21" s="427"/>
      <c r="K21" s="427"/>
      <c r="M21" s="62"/>
      <c r="N21" s="48"/>
      <c r="O21" s="79"/>
      <c r="Q21" s="83"/>
      <c r="R21" s="48"/>
      <c r="S21" s="79"/>
      <c r="T21" s="28"/>
      <c r="U21" s="74" t="s">
        <v>32</v>
      </c>
      <c r="V21" s="84">
        <f>SUM(O11:O13,O32:O34,O53:O55)/SUM(K11:L13,K32:K34,K53:K55)-1</f>
        <v>6.7776957784805081E-2</v>
      </c>
      <c r="X21" s="85"/>
      <c r="Y21" s="61"/>
      <c r="Z21" s="45"/>
    </row>
    <row r="22" spans="1:26">
      <c r="A22" s="82" t="s">
        <v>33</v>
      </c>
      <c r="C22" s="422">
        <v>67327</v>
      </c>
      <c r="E22" s="419">
        <f>ROUND(C22/($C$27-$C$26)*$E$27,0)</f>
        <v>71137</v>
      </c>
      <c r="G22" s="425"/>
      <c r="H22" s="424"/>
      <c r="I22" s="421"/>
      <c r="K22" s="421"/>
      <c r="M22" s="62"/>
      <c r="N22" s="48"/>
      <c r="O22" s="28"/>
      <c r="Q22" s="83"/>
      <c r="R22" s="48"/>
      <c r="S22" s="28"/>
      <c r="T22" s="28"/>
      <c r="U22" s="74" t="s">
        <v>34</v>
      </c>
      <c r="V22" s="75">
        <f>O27/K27-1</f>
        <v>0.11354296305508416</v>
      </c>
      <c r="X22" s="45"/>
      <c r="Y22" s="48"/>
      <c r="Z22" s="39"/>
    </row>
    <row r="23" spans="1:26">
      <c r="A23" s="82" t="s">
        <v>35</v>
      </c>
      <c r="C23" s="422">
        <v>71446</v>
      </c>
      <c r="E23" s="419">
        <f>ROUND(C23/($C$27-$C$26)*$E$27,0)</f>
        <v>75489</v>
      </c>
      <c r="G23" s="425"/>
      <c r="H23" s="424"/>
      <c r="I23" s="421"/>
      <c r="K23" s="421"/>
      <c r="M23" s="62"/>
      <c r="N23" s="48"/>
      <c r="O23" s="28"/>
      <c r="Q23" s="83"/>
      <c r="R23" s="48"/>
      <c r="S23" s="28"/>
      <c r="T23" s="28"/>
      <c r="U23" s="74" t="s">
        <v>36</v>
      </c>
      <c r="V23" s="75">
        <f>(O28+O27)/(K28+K27)-1</f>
        <v>7.3252393134627392E-2</v>
      </c>
      <c r="W23" s="86"/>
      <c r="X23" s="45"/>
      <c r="Y23"/>
    </row>
    <row r="24" spans="1:26">
      <c r="A24" s="82" t="s">
        <v>37</v>
      </c>
      <c r="B24" s="17"/>
      <c r="C24" s="422">
        <v>12239</v>
      </c>
      <c r="E24" s="419">
        <f>ROUND(C24/($C$27-$C$26)*$E$27,0)</f>
        <v>12932</v>
      </c>
      <c r="G24" s="425"/>
      <c r="H24" s="424"/>
      <c r="I24" s="421"/>
      <c r="K24" s="421"/>
      <c r="M24" s="62"/>
      <c r="N24" s="48"/>
      <c r="O24" s="28"/>
      <c r="Q24" s="83"/>
      <c r="R24" s="48"/>
      <c r="S24" s="28"/>
      <c r="T24" s="79"/>
      <c r="U24" s="69" t="s">
        <v>38</v>
      </c>
      <c r="V24" s="87">
        <f>(E27+E48)/(E11+E18+E19+E32+E39+E40)</f>
        <v>792.1185278091956</v>
      </c>
      <c r="Y24" s="28"/>
    </row>
    <row r="25" spans="1:26">
      <c r="A25" s="82" t="s">
        <v>39</v>
      </c>
      <c r="B25" s="17"/>
      <c r="C25" s="422">
        <v>11623</v>
      </c>
      <c r="E25" s="422">
        <f>E27-SUM(E14:E17,E22:E24)</f>
        <v>12279.26184463501</v>
      </c>
      <c r="G25" s="425"/>
      <c r="H25" s="424"/>
      <c r="I25" s="421"/>
      <c r="K25" s="421"/>
      <c r="M25" s="62"/>
      <c r="N25" s="48"/>
      <c r="O25" s="28"/>
      <c r="Q25" s="83"/>
      <c r="R25" s="48"/>
      <c r="S25" s="28"/>
      <c r="T25" s="79"/>
      <c r="U25" s="74" t="s">
        <v>40</v>
      </c>
      <c r="V25" s="88">
        <f>SUM(E14:E16,E22,E24,E35:E37,E43,E45)/(SUM(E11,E18,E19,E32,E39,E40)*5/12)</f>
        <v>841.24320703199294</v>
      </c>
      <c r="W25" s="28"/>
    </row>
    <row r="26" spans="1:26">
      <c r="A26" s="40" t="s">
        <v>41</v>
      </c>
      <c r="C26" s="428">
        <v>49973129</v>
      </c>
      <c r="E26" s="428">
        <v>0</v>
      </c>
      <c r="I26" s="429">
        <v>4920095</v>
      </c>
      <c r="K26" s="429">
        <v>0</v>
      </c>
      <c r="O26" s="90">
        <v>0</v>
      </c>
      <c r="S26" s="90"/>
      <c r="T26" s="79"/>
      <c r="U26" s="91" t="s">
        <v>42</v>
      </c>
      <c r="V26" s="92">
        <f>SUM(E17,E23,E25,E38,E44,E46)/(SUM(E11,E18,E19,E32,E39:E40)*7/12)</f>
        <v>757.02947122148339</v>
      </c>
      <c r="W26"/>
      <c r="X26"/>
    </row>
    <row r="27" spans="1:26" s="39" customFormat="1" ht="16.5" thickBot="1">
      <c r="A27" s="40" t="s">
        <v>43</v>
      </c>
      <c r="B27" s="16"/>
      <c r="C27" s="430">
        <f>SUM(C14:C16,C17,C21,C26)</f>
        <v>6285089769.262063</v>
      </c>
      <c r="D27" s="408"/>
      <c r="E27" s="430">
        <v>6587934756.2618446</v>
      </c>
      <c r="F27" s="408"/>
      <c r="G27" s="431"/>
      <c r="H27" s="408"/>
      <c r="I27" s="432">
        <f>SUM(I11:I26)</f>
        <v>553549363</v>
      </c>
      <c r="J27" s="408"/>
      <c r="K27" s="432">
        <f>SUM(K11:K26)</f>
        <v>578650039</v>
      </c>
      <c r="L27" s="17"/>
      <c r="M27" s="95"/>
      <c r="N27" s="17"/>
      <c r="O27" s="94">
        <f>SUM(O11:O26)</f>
        <v>644351679</v>
      </c>
      <c r="P27" s="17"/>
      <c r="Q27" s="96"/>
      <c r="R27" s="17"/>
      <c r="S27" s="94">
        <f>SUM(S11:S26)</f>
        <v>-11225988.184267398</v>
      </c>
      <c r="T27" s="79"/>
      <c r="U27" s="91" t="s">
        <v>44</v>
      </c>
      <c r="V27" s="97"/>
      <c r="W27"/>
      <c r="X27"/>
    </row>
    <row r="28" spans="1:26" ht="16.5" thickTop="1">
      <c r="A28" s="40" t="s">
        <v>45</v>
      </c>
      <c r="C28" s="407"/>
      <c r="E28" s="407"/>
      <c r="G28" s="433"/>
      <c r="H28" s="434"/>
      <c r="I28" s="429">
        <v>21722886.4384</v>
      </c>
      <c r="K28" s="429">
        <f>I28</f>
        <v>21722886.4384</v>
      </c>
      <c r="M28" s="36"/>
      <c r="N28" s="99"/>
      <c r="O28" s="89">
        <v>0</v>
      </c>
      <c r="Q28" s="36"/>
      <c r="R28" s="99"/>
      <c r="S28" s="89"/>
      <c r="T28" s="79"/>
    </row>
    <row r="29" spans="1:26">
      <c r="A29" s="40" t="s">
        <v>46</v>
      </c>
      <c r="C29" s="407"/>
      <c r="E29" s="407"/>
      <c r="G29" s="433">
        <f>M29</f>
        <v>3.9100000000000003E-2</v>
      </c>
      <c r="H29" s="434"/>
      <c r="I29" s="429">
        <f>ROUND(SUM(I14:I19,-(C18+C19)*G11,I28)*$G29,0)</f>
        <v>21117145</v>
      </c>
      <c r="K29" s="429">
        <f>ROUND(SUM(K14:K19,-(E18+E19)*G11,K28)*$G29,0)</f>
        <v>22264004</v>
      </c>
      <c r="M29" s="36">
        <v>3.9100000000000003E-2</v>
      </c>
      <c r="N29" s="99"/>
      <c r="O29" s="89">
        <f>ROUND(SUM(O14:O17,O22:O25,O28)*M29,0)</f>
        <v>23892223</v>
      </c>
      <c r="Q29" s="36"/>
      <c r="R29" s="99"/>
      <c r="S29" s="89"/>
      <c r="T29" s="79"/>
      <c r="Y29"/>
    </row>
    <row r="30" spans="1:26">
      <c r="C30" s="435"/>
      <c r="E30" s="435"/>
      <c r="T30" s="79"/>
      <c r="Y30"/>
      <c r="Z30"/>
    </row>
    <row r="31" spans="1:26">
      <c r="A31" s="37" t="s">
        <v>47</v>
      </c>
      <c r="C31" s="407"/>
      <c r="E31" s="407"/>
      <c r="T31" s="79"/>
      <c r="Y31"/>
      <c r="Z31"/>
    </row>
    <row r="32" spans="1:26">
      <c r="A32" s="40" t="s">
        <v>13</v>
      </c>
      <c r="C32" s="407">
        <v>343171.69230002601</v>
      </c>
      <c r="E32" s="422">
        <v>376337</v>
      </c>
      <c r="G32" s="237">
        <v>3.75</v>
      </c>
      <c r="H32" s="420"/>
      <c r="I32" s="421">
        <f>ROUND($G32*C32,0)</f>
        <v>1286894</v>
      </c>
      <c r="K32" s="421">
        <f>ROUND($G32*E32,0)</f>
        <v>1411264</v>
      </c>
      <c r="M32" s="101"/>
      <c r="N32" s="100"/>
      <c r="O32" s="28">
        <f>ROUND(M32*$E32,0)</f>
        <v>0</v>
      </c>
      <c r="Q32" s="102"/>
      <c r="R32" s="100"/>
      <c r="S32" s="28"/>
      <c r="X32" s="45">
        <f t="shared" ref="X32:X41" si="4">M32/G32-1</f>
        <v>-1</v>
      </c>
    </row>
    <row r="33" spans="1:26">
      <c r="A33" s="40" t="s">
        <v>14</v>
      </c>
      <c r="C33" s="407">
        <f>C32-C34</f>
        <v>342957.16560002603</v>
      </c>
      <c r="E33" s="422">
        <f>ROUND(C33/C32*E32,0)</f>
        <v>376102</v>
      </c>
      <c r="G33" s="237"/>
      <c r="H33" s="420"/>
      <c r="I33" s="421"/>
      <c r="K33" s="421"/>
      <c r="M33" s="101">
        <f>M12</f>
        <v>4</v>
      </c>
      <c r="N33" s="100"/>
      <c r="O33" s="28">
        <f t="shared" ref="O33:O34" si="5">ROUND(M33*$E33,0)</f>
        <v>1504408</v>
      </c>
      <c r="Q33" s="102"/>
      <c r="R33" s="100"/>
      <c r="S33" s="28"/>
      <c r="X33" s="45"/>
    </row>
    <row r="34" spans="1:26">
      <c r="A34" s="40" t="s">
        <v>15</v>
      </c>
      <c r="C34" s="407">
        <v>214.52670000000001</v>
      </c>
      <c r="E34" s="422">
        <f>E32-E33</f>
        <v>235</v>
      </c>
      <c r="G34" s="237"/>
      <c r="H34" s="420"/>
      <c r="I34" s="421"/>
      <c r="K34" s="421"/>
      <c r="M34" s="101">
        <f>M13</f>
        <v>8</v>
      </c>
      <c r="N34" s="42"/>
      <c r="O34" s="28">
        <f t="shared" si="5"/>
        <v>1880</v>
      </c>
      <c r="Q34" s="102"/>
      <c r="R34" s="42"/>
      <c r="S34" s="28"/>
      <c r="X34" s="45"/>
    </row>
    <row r="35" spans="1:26">
      <c r="A35" s="40" t="s">
        <v>16</v>
      </c>
      <c r="C35" s="422">
        <v>52379160</v>
      </c>
      <c r="E35" s="419">
        <f>C35/($C$48-$C$47)*$E$48</f>
        <v>58115254.896573387</v>
      </c>
      <c r="G35" s="425">
        <v>7.5292000000000003</v>
      </c>
      <c r="H35" s="424" t="s">
        <v>17</v>
      </c>
      <c r="I35" s="421">
        <f>ROUND($G35*C35/100,0)</f>
        <v>3943732</v>
      </c>
      <c r="K35" s="421">
        <f>ROUND($G35*E35/100,0)</f>
        <v>4375614</v>
      </c>
      <c r="M35" s="103">
        <f t="shared" ref="M35:M41" si="6">M14</f>
        <v>8.4003999999999994</v>
      </c>
      <c r="N35" s="48" t="s">
        <v>17</v>
      </c>
      <c r="O35" s="28">
        <f>ROUND(M35*$E35/100,0)</f>
        <v>4881914</v>
      </c>
      <c r="Q35" s="49">
        <f t="shared" ref="Q35:Q38" si="7">Q14</f>
        <v>-2.64E-2</v>
      </c>
      <c r="R35" s="48"/>
      <c r="S35" s="28">
        <f t="shared" ref="S35:S38" si="8">O35*Q35*254/365</f>
        <v>-89688.116488767118</v>
      </c>
      <c r="X35" s="45">
        <f t="shared" si="4"/>
        <v>0.11570950432980909</v>
      </c>
    </row>
    <row r="36" spans="1:26">
      <c r="A36" s="40" t="s">
        <v>19</v>
      </c>
      <c r="C36" s="422">
        <v>32883162</v>
      </c>
      <c r="E36" s="419">
        <f>C36/($C$48-$C$47)*$E$48</f>
        <v>36484230.396885246</v>
      </c>
      <c r="G36" s="425">
        <v>9.2749000000000006</v>
      </c>
      <c r="H36" s="424" t="s">
        <v>17</v>
      </c>
      <c r="I36" s="421">
        <f>ROUND($G36*C36/100,0)</f>
        <v>3049880</v>
      </c>
      <c r="K36" s="421">
        <f>ROUND($G36*E36/100,0)</f>
        <v>3383876</v>
      </c>
      <c r="M36" s="103">
        <f t="shared" si="6"/>
        <v>10.348100000000001</v>
      </c>
      <c r="N36" s="48" t="s">
        <v>17</v>
      </c>
      <c r="O36" s="28">
        <f>ROUND(M36*$E36/100,0)</f>
        <v>3775425</v>
      </c>
      <c r="Q36" s="49">
        <f t="shared" si="7"/>
        <v>-2.64E-2</v>
      </c>
      <c r="R36" s="48"/>
      <c r="S36" s="28">
        <f t="shared" si="8"/>
        <v>-69360.246246575334</v>
      </c>
      <c r="T36" s="28"/>
      <c r="X36" s="45">
        <f t="shared" si="4"/>
        <v>0.11571014242741162</v>
      </c>
    </row>
    <row r="37" spans="1:26">
      <c r="A37" s="40" t="s">
        <v>21</v>
      </c>
      <c r="C37" s="422">
        <v>8802424.674394533</v>
      </c>
      <c r="E37" s="419">
        <f>C37/($C$48-$C$47)*$E$48</f>
        <v>9766387.1215255335</v>
      </c>
      <c r="G37" s="425">
        <v>11.536099999999999</v>
      </c>
      <c r="H37" s="424" t="s">
        <v>17</v>
      </c>
      <c r="I37" s="421">
        <f>ROUND($G37*C37/100,0)</f>
        <v>1015457</v>
      </c>
      <c r="K37" s="421">
        <f>ROUND($G37*E37/100,0)</f>
        <v>1126660</v>
      </c>
      <c r="M37" s="103">
        <f t="shared" si="6"/>
        <v>12.870900000000001</v>
      </c>
      <c r="N37" s="48" t="s">
        <v>17</v>
      </c>
      <c r="O37" s="28">
        <f>ROUND(M37*$E37/100,0)</f>
        <v>1257022</v>
      </c>
      <c r="Q37" s="49">
        <f t="shared" si="7"/>
        <v>-2.64E-2</v>
      </c>
      <c r="R37" s="48"/>
      <c r="S37" s="28">
        <f t="shared" si="8"/>
        <v>-23093.388282739725</v>
      </c>
      <c r="T37" s="28"/>
      <c r="X37" s="45">
        <f t="shared" si="4"/>
        <v>0.11570634789920353</v>
      </c>
      <c r="Y37"/>
      <c r="Z37"/>
    </row>
    <row r="38" spans="1:26">
      <c r="A38" s="40" t="s">
        <v>23</v>
      </c>
      <c r="C38" s="422">
        <v>132052132.24935421</v>
      </c>
      <c r="E38" s="419">
        <f>C38/($C$48-$C$47)*$E$48</f>
        <v>146513295.08352634</v>
      </c>
      <c r="G38" s="425">
        <v>7.8009000000000004</v>
      </c>
      <c r="H38" s="424" t="s">
        <v>17</v>
      </c>
      <c r="I38" s="421">
        <f>ROUND($G38*C38/100,0)</f>
        <v>10301255</v>
      </c>
      <c r="K38" s="421">
        <f>ROUND($G38*E38/100,0)</f>
        <v>11429356</v>
      </c>
      <c r="M38" s="103">
        <f t="shared" si="6"/>
        <v>8.7035</v>
      </c>
      <c r="N38" s="48" t="s">
        <v>17</v>
      </c>
      <c r="O38" s="28">
        <f>ROUND(M38*$E38/100,0)</f>
        <v>12751785</v>
      </c>
      <c r="Q38" s="49">
        <f t="shared" si="7"/>
        <v>-2.64E-2</v>
      </c>
      <c r="R38" s="48"/>
      <c r="S38" s="28">
        <f t="shared" si="8"/>
        <v>-234269.50546849318</v>
      </c>
      <c r="T38" s="28"/>
      <c r="X38" s="45">
        <f t="shared" si="4"/>
        <v>0.11570459818738854</v>
      </c>
      <c r="Y38"/>
      <c r="Z38"/>
    </row>
    <row r="39" spans="1:26">
      <c r="A39" s="40" t="s">
        <v>25</v>
      </c>
      <c r="C39" s="407">
        <v>866.76639999999998</v>
      </c>
      <c r="E39" s="422">
        <v>951</v>
      </c>
      <c r="G39" s="237">
        <v>3.78</v>
      </c>
      <c r="H39" s="420"/>
      <c r="I39" s="421">
        <f>ROUND($G39*C39,0)</f>
        <v>3276</v>
      </c>
      <c r="K39" s="421">
        <f>ROUND($G39*E39,0)</f>
        <v>3595</v>
      </c>
      <c r="M39" s="101">
        <f t="shared" si="6"/>
        <v>7</v>
      </c>
      <c r="N39" s="100"/>
      <c r="O39" s="28">
        <f>ROUND(M39*$E39,0)</f>
        <v>6657</v>
      </c>
      <c r="Q39" s="102"/>
      <c r="R39" s="100"/>
      <c r="S39" s="28"/>
      <c r="T39" s="28"/>
      <c r="U39" s="85"/>
      <c r="V39" s="104"/>
      <c r="W39"/>
      <c r="X39" s="45">
        <f t="shared" si="4"/>
        <v>0.85185185185185186</v>
      </c>
      <c r="Y39"/>
      <c r="Z39"/>
    </row>
    <row r="40" spans="1:26">
      <c r="A40" s="40" t="s">
        <v>27</v>
      </c>
      <c r="C40" s="407">
        <v>4</v>
      </c>
      <c r="E40" s="422">
        <v>4</v>
      </c>
      <c r="G40" s="237">
        <v>11.34</v>
      </c>
      <c r="H40" s="420"/>
      <c r="I40" s="421">
        <f>ROUND($G40*C40,0)</f>
        <v>45</v>
      </c>
      <c r="K40" s="421">
        <f>ROUND($G40*E40,0)</f>
        <v>45</v>
      </c>
      <c r="M40" s="101">
        <f t="shared" si="6"/>
        <v>14</v>
      </c>
      <c r="N40" s="100"/>
      <c r="O40" s="28">
        <f>ROUND(M40*$E40,0)</f>
        <v>56</v>
      </c>
      <c r="Q40" s="102"/>
      <c r="R40" s="100"/>
      <c r="S40" s="28"/>
      <c r="T40" s="28"/>
      <c r="V40"/>
      <c r="W40"/>
      <c r="X40" s="45">
        <f t="shared" si="4"/>
        <v>0.23456790123456783</v>
      </c>
      <c r="Y40"/>
      <c r="Z40"/>
    </row>
    <row r="41" spans="1:26">
      <c r="A41" s="40" t="s">
        <v>29</v>
      </c>
      <c r="C41" s="422">
        <v>0</v>
      </c>
      <c r="E41" s="422">
        <v>0</v>
      </c>
      <c r="G41" s="237">
        <v>47.36</v>
      </c>
      <c r="H41" s="420"/>
      <c r="I41" s="421">
        <f>ROUND($G41*C41,0)</f>
        <v>0</v>
      </c>
      <c r="K41" s="421">
        <f>ROUND($G41*E41,0)</f>
        <v>0</v>
      </c>
      <c r="M41" s="101">
        <f t="shared" si="6"/>
        <v>84</v>
      </c>
      <c r="N41" s="100"/>
      <c r="O41" s="79">
        <f>ROUND(M41*$E41,0)</f>
        <v>0</v>
      </c>
      <c r="Q41" s="102"/>
      <c r="R41" s="100"/>
      <c r="S41" s="79"/>
      <c r="T41" s="28"/>
      <c r="V41"/>
      <c r="W41"/>
      <c r="X41" s="45">
        <f t="shared" si="4"/>
        <v>0.77364864864864868</v>
      </c>
      <c r="Y41"/>
      <c r="Z41"/>
    </row>
    <row r="42" spans="1:26">
      <c r="A42" s="82" t="s">
        <v>31</v>
      </c>
      <c r="B42" s="17"/>
      <c r="C42" s="422">
        <f>SUM(C43:C46)</f>
        <v>2042</v>
      </c>
      <c r="E42" s="422">
        <f>SUM(E43:E46)</f>
        <v>2265.6214894947411</v>
      </c>
      <c r="G42" s="436"/>
      <c r="H42" s="424"/>
      <c r="I42" s="427"/>
      <c r="K42" s="427"/>
      <c r="M42" s="106"/>
      <c r="N42" s="48"/>
      <c r="O42" s="79"/>
      <c r="Q42" s="107"/>
      <c r="R42" s="48"/>
      <c r="S42" s="79"/>
      <c r="T42" s="28"/>
      <c r="U42" s="27" t="s">
        <v>26</v>
      </c>
      <c r="V42" s="108">
        <f>O48/K48-1</f>
        <v>0.11268710530542214</v>
      </c>
      <c r="W42"/>
      <c r="X42"/>
      <c r="Y42"/>
      <c r="Z42"/>
    </row>
    <row r="43" spans="1:26">
      <c r="A43" s="82" t="s">
        <v>33</v>
      </c>
      <c r="B43" s="17"/>
      <c r="C43" s="422">
        <v>726</v>
      </c>
      <c r="E43" s="419">
        <f>C43/($C$48-$C$47)*$E$48</f>
        <v>805.50499578290828</v>
      </c>
      <c r="G43" s="436"/>
      <c r="H43" s="424"/>
      <c r="I43" s="421"/>
      <c r="K43" s="421"/>
      <c r="M43" s="106"/>
      <c r="N43" s="48"/>
      <c r="O43" s="79"/>
      <c r="Q43" s="107"/>
      <c r="R43" s="48"/>
      <c r="S43" s="79"/>
      <c r="T43" s="79"/>
      <c r="U43" s="27" t="s">
        <v>48</v>
      </c>
      <c r="V43" s="108">
        <f>(O48+O49)/(K48+K49)-1</f>
        <v>7.9976353642934761E-2</v>
      </c>
      <c r="W43"/>
      <c r="X43"/>
      <c r="Y43"/>
      <c r="Z43"/>
    </row>
    <row r="44" spans="1:26" s="39" customFormat="1">
      <c r="A44" s="82" t="s">
        <v>35</v>
      </c>
      <c r="B44" s="16"/>
      <c r="C44" s="422">
        <v>935</v>
      </c>
      <c r="D44" s="408"/>
      <c r="E44" s="419">
        <f>C44/($C$48-$C$47)*$E$48</f>
        <v>1037.3927975992001</v>
      </c>
      <c r="F44" s="408"/>
      <c r="G44" s="436"/>
      <c r="H44" s="424"/>
      <c r="I44" s="437"/>
      <c r="J44" s="408"/>
      <c r="K44" s="421"/>
      <c r="L44" s="17"/>
      <c r="M44" s="106"/>
      <c r="N44" s="48"/>
      <c r="O44" s="79"/>
      <c r="P44" s="17"/>
      <c r="Q44" s="107"/>
      <c r="R44" s="48"/>
      <c r="S44" s="79"/>
      <c r="T44" s="79"/>
      <c r="U44" s="27" t="s">
        <v>49</v>
      </c>
      <c r="V44" s="109">
        <f>E48/(E32+E39+E40)</f>
        <v>664.95296247998897</v>
      </c>
      <c r="W44" s="48"/>
      <c r="X44" s="48"/>
      <c r="Y44" s="48"/>
      <c r="Z44" s="48"/>
    </row>
    <row r="45" spans="1:26" s="39" customFormat="1">
      <c r="A45" s="82" t="s">
        <v>37</v>
      </c>
      <c r="B45" s="17"/>
      <c r="C45" s="422">
        <v>0</v>
      </c>
      <c r="D45" s="408"/>
      <c r="E45" s="419">
        <f>C45/($C$48-$C$47)*$E$48</f>
        <v>0</v>
      </c>
      <c r="F45" s="408"/>
      <c r="G45" s="436"/>
      <c r="H45" s="424"/>
      <c r="I45" s="421"/>
      <c r="J45" s="408"/>
      <c r="K45" s="421"/>
      <c r="L45" s="17"/>
      <c r="M45" s="106"/>
      <c r="N45" s="48"/>
      <c r="O45" s="79"/>
      <c r="P45" s="17"/>
      <c r="Q45" s="107"/>
      <c r="R45" s="48"/>
      <c r="S45" s="79"/>
      <c r="T45" s="79"/>
      <c r="U45" s="27" t="s">
        <v>50</v>
      </c>
      <c r="V45" s="109">
        <f>SUM(E35:E37,E43,E45)/((E32+E39+E40)*5/12)</f>
        <v>663.88904882147483</v>
      </c>
      <c r="W45" s="48"/>
      <c r="X45" s="48"/>
      <c r="Y45" s="48"/>
      <c r="Z45" s="48"/>
    </row>
    <row r="46" spans="1:26" s="39" customFormat="1">
      <c r="A46" s="82" t="s">
        <v>39</v>
      </c>
      <c r="B46" s="16"/>
      <c r="C46" s="422">
        <v>381</v>
      </c>
      <c r="D46" s="408"/>
      <c r="E46" s="422">
        <f>E48-SUM(E35:E38,E43:E45)</f>
        <v>422.72369611263275</v>
      </c>
      <c r="F46" s="408"/>
      <c r="G46" s="436"/>
      <c r="H46" s="424"/>
      <c r="I46" s="421"/>
      <c r="J46" s="408"/>
      <c r="K46" s="421"/>
      <c r="L46" s="17"/>
      <c r="M46" s="106"/>
      <c r="N46" s="48"/>
      <c r="O46" s="79"/>
      <c r="P46" s="17"/>
      <c r="Q46" s="107"/>
      <c r="R46" s="48"/>
      <c r="S46" s="79"/>
      <c r="T46" s="79"/>
      <c r="U46" s="27" t="s">
        <v>51</v>
      </c>
      <c r="V46" s="109">
        <f>SUM(E38,E44,E46)/((E32+E39+E40)*7/12)</f>
        <v>665.71290080749907</v>
      </c>
      <c r="W46" s="48"/>
      <c r="X46" s="48"/>
      <c r="Y46" s="48"/>
      <c r="Z46" s="48"/>
    </row>
    <row r="47" spans="1:26">
      <c r="A47" s="40" t="s">
        <v>41</v>
      </c>
      <c r="C47" s="428">
        <v>1813418</v>
      </c>
      <c r="E47" s="428">
        <v>0</v>
      </c>
      <c r="I47" s="429">
        <v>176295</v>
      </c>
      <c r="K47" s="429">
        <v>0</v>
      </c>
      <c r="O47" s="90">
        <v>0</v>
      </c>
      <c r="S47" s="90"/>
      <c r="T47" s="79"/>
      <c r="U47" s="17"/>
      <c r="V47" s="48"/>
      <c r="W47"/>
      <c r="X47"/>
      <c r="Y47"/>
      <c r="Z47"/>
    </row>
    <row r="48" spans="1:26" ht="16.5" thickBot="1">
      <c r="A48" s="40" t="s">
        <v>43</v>
      </c>
      <c r="C48" s="430">
        <f>SUM(C35:D37,C38,C42,C47)</f>
        <v>227932338.92374873</v>
      </c>
      <c r="E48" s="430">
        <v>250881433.12</v>
      </c>
      <c r="G48" s="431"/>
      <c r="I48" s="432">
        <f>SUM(I32:I47)</f>
        <v>19776834</v>
      </c>
      <c r="K48" s="432">
        <f>SUM(K32:K47)</f>
        <v>21730410</v>
      </c>
      <c r="M48" s="95"/>
      <c r="O48" s="94">
        <f>SUM(O32:O47)</f>
        <v>24179147</v>
      </c>
      <c r="Q48" s="96"/>
      <c r="S48" s="94">
        <f>SUM(S32:S47)</f>
        <v>-416411.25648657535</v>
      </c>
      <c r="T48" s="79"/>
      <c r="U48" s="17"/>
      <c r="V48" s="48"/>
      <c r="W48"/>
      <c r="X48"/>
      <c r="Y48"/>
      <c r="Z48"/>
    </row>
    <row r="49" spans="1:26" ht="16.5" thickTop="1">
      <c r="A49" s="40" t="s">
        <v>45</v>
      </c>
      <c r="C49" s="407"/>
      <c r="E49" s="407"/>
      <c r="G49" s="433"/>
      <c r="H49" s="434"/>
      <c r="I49" s="429">
        <v>658179.2672</v>
      </c>
      <c r="K49" s="429">
        <f>I49</f>
        <v>658179.2672</v>
      </c>
      <c r="M49" s="36"/>
      <c r="N49" s="99"/>
      <c r="O49" s="89">
        <v>0</v>
      </c>
      <c r="Q49" s="36"/>
      <c r="R49" s="99"/>
      <c r="S49" s="89"/>
      <c r="T49" s="79"/>
      <c r="V49"/>
      <c r="W49"/>
      <c r="X49"/>
      <c r="Y49"/>
      <c r="Z49"/>
    </row>
    <row r="50" spans="1:26">
      <c r="A50" s="40" t="s">
        <v>46</v>
      </c>
      <c r="C50" s="407"/>
      <c r="E50" s="407"/>
      <c r="G50" s="433">
        <f>M50</f>
        <v>3.9100000000000003E-2</v>
      </c>
      <c r="H50" s="434"/>
      <c r="I50" s="429">
        <f>ROUND(SUM(I35:I40,-(C39+C40)*G32,I49)*$G50,0)</f>
        <v>741671</v>
      </c>
      <c r="K50" s="429">
        <f>ROUND(SUM(K35:K40,-(E39+E40)*G32,K49)*$G50,0)</f>
        <v>820073</v>
      </c>
      <c r="M50" s="36">
        <v>3.9100000000000003E-2</v>
      </c>
      <c r="N50" s="99"/>
      <c r="O50" s="89">
        <f>ROUND(SUM(O35:O38,O43:O46,O49)*$G50,0)</f>
        <v>886246</v>
      </c>
      <c r="Q50" s="36"/>
      <c r="R50" s="99"/>
      <c r="S50" s="89"/>
      <c r="T50" s="79"/>
      <c r="W50"/>
      <c r="X50"/>
      <c r="Y50"/>
      <c r="Z50"/>
    </row>
    <row r="51" spans="1:26">
      <c r="C51" s="407"/>
      <c r="E51" s="407"/>
      <c r="W51"/>
      <c r="X51"/>
      <c r="Y51"/>
      <c r="Z51"/>
    </row>
    <row r="52" spans="1:26">
      <c r="A52" s="37" t="s">
        <v>52</v>
      </c>
      <c r="C52" s="407"/>
      <c r="E52" s="407"/>
      <c r="W52"/>
      <c r="X52"/>
      <c r="Y52"/>
      <c r="Z52"/>
    </row>
    <row r="53" spans="1:26">
      <c r="A53" s="40" t="s">
        <v>13</v>
      </c>
      <c r="C53" s="407">
        <v>4290.4659999999894</v>
      </c>
      <c r="E53" s="422">
        <v>4344.1433945601248</v>
      </c>
      <c r="G53" s="237">
        <v>3.75</v>
      </c>
      <c r="H53" s="420"/>
      <c r="I53" s="421">
        <f>ROUND($G53*C53,0)</f>
        <v>16089</v>
      </c>
      <c r="K53" s="421">
        <f>ROUND($G53*E53,0)</f>
        <v>16291</v>
      </c>
      <c r="M53" s="101"/>
      <c r="N53" s="100"/>
      <c r="O53" s="28">
        <f>ROUND(M53*$E53,0)</f>
        <v>0</v>
      </c>
      <c r="Q53" s="102"/>
      <c r="R53" s="100"/>
      <c r="S53" s="28"/>
      <c r="T53" s="28"/>
      <c r="V53" s="45"/>
      <c r="W53"/>
      <c r="X53" s="45">
        <f t="shared" ref="X53:X64" si="9">M53/G53-1</f>
        <v>-1</v>
      </c>
      <c r="Y53"/>
      <c r="Z53"/>
    </row>
    <row r="54" spans="1:26">
      <c r="A54" s="40" t="s">
        <v>14</v>
      </c>
      <c r="C54" s="407">
        <f>C53-C55</f>
        <v>4288.4659999999894</v>
      </c>
      <c r="E54" s="422">
        <f>ROUND(C54/C53*E53,0)</f>
        <v>4342</v>
      </c>
      <c r="G54" s="237"/>
      <c r="H54" s="420"/>
      <c r="I54" s="421"/>
      <c r="K54" s="421"/>
      <c r="M54" s="101">
        <f>M12</f>
        <v>4</v>
      </c>
      <c r="N54" s="100"/>
      <c r="O54" s="28">
        <f t="shared" ref="O54:O55" si="10">ROUND(M54*$E54,0)</f>
        <v>17368</v>
      </c>
      <c r="Q54" s="102"/>
      <c r="R54" s="100"/>
      <c r="S54" s="28"/>
      <c r="T54" s="28"/>
      <c r="V54" s="45"/>
      <c r="W54"/>
      <c r="X54" s="45"/>
      <c r="Y54"/>
      <c r="Z54"/>
    </row>
    <row r="55" spans="1:26">
      <c r="A55" s="40" t="s">
        <v>15</v>
      </c>
      <c r="C55" s="407">
        <v>2</v>
      </c>
      <c r="E55" s="422">
        <f>E53-E54</f>
        <v>2.1433945601247615</v>
      </c>
      <c r="G55" s="237"/>
      <c r="H55" s="420"/>
      <c r="I55" s="421"/>
      <c r="K55" s="421"/>
      <c r="M55" s="101">
        <f t="shared" ref="M55" si="11">M13</f>
        <v>8</v>
      </c>
      <c r="N55" s="100"/>
      <c r="O55" s="28">
        <f t="shared" si="10"/>
        <v>17</v>
      </c>
      <c r="Q55" s="102"/>
      <c r="R55" s="100"/>
      <c r="S55" s="28"/>
      <c r="T55" s="28"/>
      <c r="V55" s="45"/>
      <c r="W55"/>
      <c r="X55" s="45"/>
      <c r="Y55"/>
      <c r="Z55"/>
    </row>
    <row r="56" spans="1:26">
      <c r="A56" s="40" t="s">
        <v>53</v>
      </c>
      <c r="C56" s="407">
        <v>270640</v>
      </c>
      <c r="E56" s="422">
        <f t="shared" ref="E56:E61" si="12">C56/($C$71-$C$70)*$E$71</f>
        <v>245210.54264628116</v>
      </c>
      <c r="G56" s="438">
        <v>4.3761999999999999</v>
      </c>
      <c r="H56" s="424" t="s">
        <v>17</v>
      </c>
      <c r="I56" s="421">
        <f t="shared" ref="I56:I61" si="13">ROUND($G56*C56/100,0)</f>
        <v>11844</v>
      </c>
      <c r="K56" s="421">
        <f t="shared" ref="K56:K61" si="14">ROUND($G56*E56/100,0)</f>
        <v>10731</v>
      </c>
      <c r="M56" s="111">
        <v>4.13</v>
      </c>
      <c r="N56" s="48" t="s">
        <v>17</v>
      </c>
      <c r="O56" s="28">
        <f t="shared" ref="O56:O61" si="15">ROUND(M56*$E56/100,0)</f>
        <v>10127</v>
      </c>
      <c r="Q56" s="44"/>
      <c r="R56" s="48"/>
      <c r="S56" s="28"/>
      <c r="T56" s="28"/>
      <c r="W56"/>
      <c r="X56" s="45">
        <f t="shared" si="9"/>
        <v>-5.6258854714135498E-2</v>
      </c>
      <c r="Y56"/>
      <c r="Z56"/>
    </row>
    <row r="57" spans="1:26">
      <c r="A57" s="40" t="s">
        <v>54</v>
      </c>
      <c r="C57" s="407">
        <v>958624.51630374242</v>
      </c>
      <c r="E57" s="422">
        <f t="shared" si="12"/>
        <v>868551.72124175832</v>
      </c>
      <c r="G57" s="438">
        <v>-1.4014</v>
      </c>
      <c r="H57" s="424" t="s">
        <v>17</v>
      </c>
      <c r="I57" s="421">
        <f t="shared" si="13"/>
        <v>-13434</v>
      </c>
      <c r="K57" s="421">
        <f t="shared" si="14"/>
        <v>-12172</v>
      </c>
      <c r="M57" s="111">
        <v>-1.5487</v>
      </c>
      <c r="N57" s="48" t="s">
        <v>17</v>
      </c>
      <c r="O57" s="28">
        <f t="shared" si="15"/>
        <v>-13451</v>
      </c>
      <c r="Q57" s="44"/>
      <c r="R57" s="48"/>
      <c r="S57" s="28"/>
      <c r="T57" s="28"/>
      <c r="V57"/>
      <c r="W57"/>
      <c r="X57" s="45">
        <f t="shared" si="9"/>
        <v>0.10510917653774787</v>
      </c>
      <c r="Y57"/>
      <c r="Z57"/>
    </row>
    <row r="58" spans="1:26">
      <c r="A58" s="40" t="s">
        <v>16</v>
      </c>
      <c r="C58" s="422">
        <v>622997</v>
      </c>
      <c r="E58" s="422">
        <f t="shared" si="12"/>
        <v>564459.91884793527</v>
      </c>
      <c r="G58" s="425">
        <v>7.5292000000000003</v>
      </c>
      <c r="H58" s="424" t="s">
        <v>17</v>
      </c>
      <c r="I58" s="421">
        <f t="shared" si="13"/>
        <v>46907</v>
      </c>
      <c r="K58" s="421">
        <f t="shared" si="14"/>
        <v>42499</v>
      </c>
      <c r="M58" s="103">
        <f t="shared" ref="M58:M64" si="16">M14</f>
        <v>8.4003999999999994</v>
      </c>
      <c r="N58" s="48" t="s">
        <v>17</v>
      </c>
      <c r="O58" s="28">
        <f t="shared" si="15"/>
        <v>47417</v>
      </c>
      <c r="Q58" s="49">
        <f t="shared" ref="Q58:Q61" si="17">Q14</f>
        <v>-2.64E-2</v>
      </c>
      <c r="R58" s="48"/>
      <c r="S58" s="28">
        <f t="shared" ref="S58:S61" si="18">O58*Q58*254/365</f>
        <v>-871.12174027397259</v>
      </c>
      <c r="T58" s="28"/>
      <c r="V58"/>
      <c r="W58"/>
      <c r="X58" s="45">
        <f t="shared" si="9"/>
        <v>0.11570950432980909</v>
      </c>
      <c r="Y58"/>
      <c r="Z58" s="112"/>
    </row>
    <row r="59" spans="1:26">
      <c r="A59" s="40" t="s">
        <v>19</v>
      </c>
      <c r="C59" s="422">
        <v>433584</v>
      </c>
      <c r="E59" s="422">
        <f t="shared" si="12"/>
        <v>392844.25037963776</v>
      </c>
      <c r="G59" s="425">
        <v>9.2749000000000006</v>
      </c>
      <c r="H59" s="424" t="s">
        <v>17</v>
      </c>
      <c r="I59" s="421">
        <f t="shared" si="13"/>
        <v>40214</v>
      </c>
      <c r="K59" s="421">
        <f t="shared" si="14"/>
        <v>36436</v>
      </c>
      <c r="M59" s="103">
        <f t="shared" si="16"/>
        <v>10.348100000000001</v>
      </c>
      <c r="N59" s="48" t="s">
        <v>17</v>
      </c>
      <c r="O59" s="28">
        <f t="shared" si="15"/>
        <v>40652</v>
      </c>
      <c r="Q59" s="49">
        <f t="shared" si="17"/>
        <v>-2.64E-2</v>
      </c>
      <c r="R59" s="48"/>
      <c r="S59" s="28">
        <f t="shared" si="18"/>
        <v>-746.83849643835617</v>
      </c>
      <c r="T59" s="28"/>
      <c r="V59"/>
      <c r="W59"/>
      <c r="X59" s="45">
        <f t="shared" si="9"/>
        <v>0.11571014242741162</v>
      </c>
      <c r="Y59"/>
      <c r="Z59" s="112"/>
    </row>
    <row r="60" spans="1:26">
      <c r="A60" s="40" t="s">
        <v>21</v>
      </c>
      <c r="C60" s="422">
        <v>174456.51630374236</v>
      </c>
      <c r="E60" s="422">
        <f t="shared" si="12"/>
        <v>158064.50277497951</v>
      </c>
      <c r="G60" s="425">
        <v>11.536099999999999</v>
      </c>
      <c r="H60" s="424" t="s">
        <v>17</v>
      </c>
      <c r="I60" s="421">
        <f t="shared" si="13"/>
        <v>20125</v>
      </c>
      <c r="K60" s="421">
        <f t="shared" si="14"/>
        <v>18234</v>
      </c>
      <c r="M60" s="103">
        <f t="shared" si="16"/>
        <v>12.870900000000001</v>
      </c>
      <c r="N60" s="48" t="s">
        <v>17</v>
      </c>
      <c r="O60" s="28">
        <f t="shared" si="15"/>
        <v>20344</v>
      </c>
      <c r="Q60" s="49">
        <f t="shared" si="17"/>
        <v>-2.64E-2</v>
      </c>
      <c r="R60" s="48"/>
      <c r="S60" s="28">
        <f t="shared" si="18"/>
        <v>-373.74993534246573</v>
      </c>
      <c r="T60" s="28"/>
      <c r="V60"/>
      <c r="W60"/>
      <c r="X60" s="45">
        <f t="shared" si="9"/>
        <v>0.11570634789920353</v>
      </c>
      <c r="Y60"/>
      <c r="Z60"/>
    </row>
    <row r="61" spans="1:26">
      <c r="A61" s="40" t="s">
        <v>23</v>
      </c>
      <c r="C61" s="422">
        <v>1859244.9939319452</v>
      </c>
      <c r="E61" s="422">
        <f t="shared" si="12"/>
        <v>1684549.4896335867</v>
      </c>
      <c r="G61" s="425">
        <v>7.8009000000000004</v>
      </c>
      <c r="H61" s="424" t="s">
        <v>17</v>
      </c>
      <c r="I61" s="421">
        <f t="shared" si="13"/>
        <v>145038</v>
      </c>
      <c r="K61" s="421">
        <f t="shared" si="14"/>
        <v>131410</v>
      </c>
      <c r="M61" s="103">
        <f t="shared" si="16"/>
        <v>8.7035</v>
      </c>
      <c r="N61" s="48" t="s">
        <v>17</v>
      </c>
      <c r="O61" s="28">
        <f t="shared" si="15"/>
        <v>146615</v>
      </c>
      <c r="Q61" s="49">
        <f t="shared" si="17"/>
        <v>-2.64E-2</v>
      </c>
      <c r="R61" s="48"/>
      <c r="S61" s="28">
        <f t="shared" si="18"/>
        <v>-2693.5384767123287</v>
      </c>
      <c r="T61" s="28"/>
      <c r="V61"/>
      <c r="W61" s="48"/>
      <c r="X61" s="45">
        <f t="shared" si="9"/>
        <v>0.11570459818738854</v>
      </c>
      <c r="Y61"/>
      <c r="Z61"/>
    </row>
    <row r="62" spans="1:26">
      <c r="A62" s="40" t="s">
        <v>25</v>
      </c>
      <c r="C62" s="407">
        <v>51.370399999999997</v>
      </c>
      <c r="E62" s="422">
        <v>52</v>
      </c>
      <c r="G62" s="237">
        <v>3.78</v>
      </c>
      <c r="H62" s="420"/>
      <c r="I62" s="421">
        <f>ROUND($G62*C62,0)</f>
        <v>194</v>
      </c>
      <c r="K62" s="421">
        <f>ROUND($G62*E62,0)</f>
        <v>197</v>
      </c>
      <c r="M62" s="101">
        <f t="shared" si="16"/>
        <v>7</v>
      </c>
      <c r="N62" s="100"/>
      <c r="O62" s="28">
        <f>ROUND(M62*$E62,0)</f>
        <v>364</v>
      </c>
      <c r="Q62" s="102"/>
      <c r="R62" s="100"/>
      <c r="S62" s="28"/>
      <c r="T62" s="28"/>
      <c r="V62"/>
      <c r="W62" s="48"/>
      <c r="X62" s="45">
        <f t="shared" si="9"/>
        <v>0.85185185185185186</v>
      </c>
      <c r="Y62"/>
      <c r="Z62"/>
    </row>
    <row r="63" spans="1:26" s="39" customFormat="1">
      <c r="A63" s="40" t="s">
        <v>27</v>
      </c>
      <c r="B63" s="16"/>
      <c r="C63" s="407">
        <v>8.9634</v>
      </c>
      <c r="D63" s="408"/>
      <c r="E63" s="422">
        <v>9</v>
      </c>
      <c r="F63" s="408"/>
      <c r="G63" s="237">
        <v>11.34</v>
      </c>
      <c r="H63" s="420"/>
      <c r="I63" s="421">
        <f>ROUND($G63*C63,0)</f>
        <v>102</v>
      </c>
      <c r="J63" s="408"/>
      <c r="K63" s="421">
        <f>ROUND($G63*E63,0)</f>
        <v>102</v>
      </c>
      <c r="L63" s="17"/>
      <c r="M63" s="101">
        <f t="shared" si="16"/>
        <v>14</v>
      </c>
      <c r="N63" s="100"/>
      <c r="O63" s="28">
        <f>ROUND(M63*$E63,0)</f>
        <v>126</v>
      </c>
      <c r="P63" s="17"/>
      <c r="Q63" s="102"/>
      <c r="R63" s="100"/>
      <c r="S63" s="28"/>
      <c r="T63" s="79"/>
      <c r="U63" s="16"/>
      <c r="V63"/>
      <c r="W63" s="48"/>
      <c r="X63" s="45">
        <f t="shared" si="9"/>
        <v>0.23456790123456783</v>
      </c>
      <c r="Y63" s="48"/>
      <c r="Z63" s="48"/>
    </row>
    <row r="64" spans="1:26" s="39" customFormat="1">
      <c r="A64" s="40" t="s">
        <v>29</v>
      </c>
      <c r="B64" s="16"/>
      <c r="C64" s="422">
        <v>0</v>
      </c>
      <c r="D64" s="408"/>
      <c r="E64" s="422">
        <v>0</v>
      </c>
      <c r="F64" s="408"/>
      <c r="G64" s="237">
        <v>47.36</v>
      </c>
      <c r="H64" s="420"/>
      <c r="I64" s="421">
        <f>ROUND($G64*C64,0)</f>
        <v>0</v>
      </c>
      <c r="J64" s="408"/>
      <c r="K64" s="421">
        <f>ROUND($G64*E64,0)</f>
        <v>0</v>
      </c>
      <c r="L64" s="17"/>
      <c r="M64" s="101">
        <f t="shared" si="16"/>
        <v>84</v>
      </c>
      <c r="N64" s="100"/>
      <c r="O64" s="28">
        <f>ROUND(M64*$E64,0)</f>
        <v>0</v>
      </c>
      <c r="P64" s="17"/>
      <c r="Q64" s="102"/>
      <c r="R64" s="100"/>
      <c r="S64" s="28"/>
      <c r="T64" s="79"/>
      <c r="U64" s="16"/>
      <c r="V64"/>
      <c r="W64"/>
      <c r="X64" s="45">
        <f t="shared" si="9"/>
        <v>0.77364864864864868</v>
      </c>
      <c r="Y64" s="48"/>
      <c r="Z64" s="48"/>
    </row>
    <row r="65" spans="1:26" s="39" customFormat="1">
      <c r="A65" s="82" t="s">
        <v>31</v>
      </c>
      <c r="B65" s="17"/>
      <c r="C65" s="422">
        <f>SUM(C66:C69)</f>
        <v>266</v>
      </c>
      <c r="D65" s="408"/>
      <c r="E65" s="422">
        <f>SUM(E66:E69)</f>
        <v>241.00651915475848</v>
      </c>
      <c r="F65" s="408"/>
      <c r="G65" s="436"/>
      <c r="H65" s="424"/>
      <c r="I65" s="427"/>
      <c r="J65" s="408"/>
      <c r="K65" s="427"/>
      <c r="L65" s="17"/>
      <c r="M65" s="106"/>
      <c r="N65" s="48"/>
      <c r="O65" s="79"/>
      <c r="P65" s="17"/>
      <c r="Q65" s="107"/>
      <c r="R65" s="48"/>
      <c r="S65" s="79"/>
      <c r="T65" s="79"/>
      <c r="U65" s="16"/>
      <c r="V65"/>
      <c r="W65"/>
      <c r="X65" s="48"/>
      <c r="Y65" s="48"/>
      <c r="Z65" s="48"/>
    </row>
    <row r="66" spans="1:26">
      <c r="A66" s="82" t="s">
        <v>33</v>
      </c>
      <c r="B66" s="17"/>
      <c r="C66" s="422">
        <v>4</v>
      </c>
      <c r="E66" s="422">
        <f>C66/($C$71-$C$70)*$E$71</f>
        <v>3.6241581827709304</v>
      </c>
      <c r="G66" s="436"/>
      <c r="H66" s="424"/>
      <c r="I66" s="421"/>
      <c r="K66" s="421"/>
      <c r="M66" s="106"/>
      <c r="N66" s="48"/>
      <c r="O66" s="79"/>
      <c r="Q66" s="107"/>
      <c r="R66" s="48"/>
      <c r="S66" s="79"/>
      <c r="T66" s="79"/>
      <c r="V66"/>
      <c r="X66"/>
      <c r="Y66"/>
      <c r="Z66"/>
    </row>
    <row r="67" spans="1:26">
      <c r="A67" s="82" t="s">
        <v>35</v>
      </c>
      <c r="C67" s="422">
        <v>76</v>
      </c>
      <c r="E67" s="422">
        <f>C67/($C$71-$C$70)*$E$71</f>
        <v>68.859005472647667</v>
      </c>
      <c r="G67" s="436"/>
      <c r="H67" s="424"/>
      <c r="I67" s="421"/>
      <c r="K67" s="421"/>
      <c r="M67" s="106"/>
      <c r="N67" s="48"/>
      <c r="O67" s="79"/>
      <c r="Q67" s="107"/>
      <c r="R67" s="48"/>
      <c r="S67" s="79"/>
      <c r="T67" s="79"/>
      <c r="V67"/>
      <c r="W67"/>
      <c r="X67"/>
      <c r="Y67"/>
      <c r="Z67"/>
    </row>
    <row r="68" spans="1:26">
      <c r="A68" s="82" t="s">
        <v>37</v>
      </c>
      <c r="B68" s="17"/>
      <c r="C68" s="422">
        <v>153</v>
      </c>
      <c r="E68" s="422">
        <f>C68/($C$71-$C$70)*$E$71</f>
        <v>138.62405049098808</v>
      </c>
      <c r="G68" s="436"/>
      <c r="H68" s="424"/>
      <c r="I68" s="421"/>
      <c r="K68" s="421"/>
      <c r="M68" s="106"/>
      <c r="N68" s="48"/>
      <c r="O68" s="79"/>
      <c r="Q68" s="107"/>
      <c r="R68" s="48"/>
      <c r="S68" s="79"/>
      <c r="T68" s="79"/>
      <c r="U68" s="27" t="s">
        <v>26</v>
      </c>
      <c r="V68" s="108">
        <f>O71/K71-1</f>
        <v>0.10606495765771684</v>
      </c>
      <c r="W68"/>
    </row>
    <row r="69" spans="1:26">
      <c r="A69" s="82" t="s">
        <v>39</v>
      </c>
      <c r="C69" s="422">
        <v>33</v>
      </c>
      <c r="E69" s="422">
        <f>E71-SUM(E58:E61,E66:E68)</f>
        <v>29.899305008351803</v>
      </c>
      <c r="G69" s="436"/>
      <c r="H69" s="424"/>
      <c r="I69" s="421"/>
      <c r="K69" s="421"/>
      <c r="M69" s="106"/>
      <c r="N69" s="48"/>
      <c r="O69" s="79"/>
      <c r="Q69" s="107"/>
      <c r="R69" s="48"/>
      <c r="S69" s="79"/>
      <c r="T69" s="79"/>
      <c r="U69" s="27" t="s">
        <v>48</v>
      </c>
      <c r="V69" s="108">
        <f>(O71+O72)/(K71+K72)-1</f>
        <v>6.6154532189264259E-2</v>
      </c>
      <c r="X69"/>
      <c r="Y69"/>
      <c r="Z69"/>
    </row>
    <row r="70" spans="1:26">
      <c r="A70" s="40" t="s">
        <v>41</v>
      </c>
      <c r="C70" s="428">
        <v>24911</v>
      </c>
      <c r="E70" s="428">
        <v>0</v>
      </c>
      <c r="I70" s="429">
        <v>2412</v>
      </c>
      <c r="K70" s="429">
        <v>0</v>
      </c>
      <c r="O70" s="90">
        <v>0</v>
      </c>
      <c r="S70" s="90"/>
      <c r="U70" s="27" t="s">
        <v>55</v>
      </c>
      <c r="V70" s="109">
        <f>E71/(E53+E62+E63)</f>
        <v>635.65675787380439</v>
      </c>
      <c r="X70"/>
      <c r="Y70"/>
    </row>
    <row r="71" spans="1:26" ht="16.5" thickBot="1">
      <c r="A71" s="40" t="s">
        <v>43</v>
      </c>
      <c r="C71" s="430">
        <f>SUM(C58:C60,C61,C65,C70)</f>
        <v>3115459.5102356877</v>
      </c>
      <c r="E71" s="430">
        <v>2800159.1681552939</v>
      </c>
      <c r="G71" s="439"/>
      <c r="I71" s="440">
        <f>SUM(I53:I70)</f>
        <v>269491</v>
      </c>
      <c r="K71" s="440">
        <f>SUM(K53:K70)</f>
        <v>243728</v>
      </c>
      <c r="M71" s="115"/>
      <c r="O71" s="114">
        <f>SUM(O53:O70)</f>
        <v>269579</v>
      </c>
      <c r="Q71" s="116"/>
      <c r="S71" s="114">
        <f>SUM(S53:S70)</f>
        <v>-4685.2486487671231</v>
      </c>
      <c r="U71" s="17"/>
      <c r="V71" s="48"/>
      <c r="W71" s="117"/>
      <c r="X71"/>
      <c r="Y71"/>
    </row>
    <row r="72" spans="1:26" ht="16.5" thickTop="1">
      <c r="A72" s="40" t="s">
        <v>45</v>
      </c>
      <c r="C72" s="407"/>
      <c r="E72" s="407"/>
      <c r="G72" s="433"/>
      <c r="H72" s="434"/>
      <c r="I72" s="429">
        <v>9123.7132000000001</v>
      </c>
      <c r="K72" s="429">
        <f>I72</f>
        <v>9123.7132000000001</v>
      </c>
      <c r="M72" s="36"/>
      <c r="N72" s="99"/>
      <c r="O72" s="89">
        <v>0</v>
      </c>
      <c r="Q72" s="36"/>
      <c r="R72" s="99"/>
      <c r="S72" s="89"/>
      <c r="T72" s="28"/>
      <c r="U72" s="17"/>
      <c r="V72" s="48"/>
      <c r="W72" s="117"/>
    </row>
    <row r="73" spans="1:26">
      <c r="A73" s="40" t="s">
        <v>46</v>
      </c>
      <c r="C73" s="407"/>
      <c r="E73" s="407"/>
      <c r="G73" s="433">
        <f>M73</f>
        <v>3.9100000000000003E-2</v>
      </c>
      <c r="H73" s="434"/>
      <c r="I73" s="429">
        <f>ROUND(SUM(I56:I63,-(C62+C63)*G53,I72)*$G73,0)</f>
        <v>10162</v>
      </c>
      <c r="K73" s="429">
        <f>ROUND(SUM(K56:K63,-(E62+E63)*G53,K72)*$G73,0)</f>
        <v>9241</v>
      </c>
      <c r="M73" s="119">
        <f>M29</f>
        <v>3.9100000000000003E-2</v>
      </c>
      <c r="N73" s="118"/>
      <c r="O73" s="89">
        <f>ROUND(SUM(O56:O61,O66:O69,O72)*M73,0)</f>
        <v>9842</v>
      </c>
      <c r="Q73" s="119"/>
      <c r="R73" s="118"/>
      <c r="S73" s="89"/>
      <c r="T73" s="28"/>
      <c r="U73" s="17"/>
      <c r="V73" s="48"/>
      <c r="W73" s="117"/>
      <c r="X73" s="117"/>
      <c r="Y73" s="28"/>
      <c r="Z73" s="120"/>
    </row>
    <row r="74" spans="1:26">
      <c r="C74" s="407"/>
      <c r="E74" s="407"/>
      <c r="T74" s="28"/>
      <c r="V74"/>
      <c r="W74" s="117"/>
      <c r="X74" s="117"/>
      <c r="Y74" s="28"/>
      <c r="Z74" s="120"/>
    </row>
    <row r="75" spans="1:26">
      <c r="A75" s="37" t="s">
        <v>56</v>
      </c>
      <c r="C75" s="407"/>
      <c r="E75" s="407"/>
      <c r="T75" s="28"/>
      <c r="Y75" s="28"/>
      <c r="Z75" s="120"/>
    </row>
    <row r="76" spans="1:26">
      <c r="A76" s="40" t="s">
        <v>13</v>
      </c>
      <c r="C76" s="407">
        <v>132.03450000000001</v>
      </c>
      <c r="E76" s="422">
        <v>132</v>
      </c>
      <c r="G76" s="237">
        <v>20</v>
      </c>
      <c r="H76" s="420"/>
      <c r="I76" s="421">
        <f>ROUND($G76*C76,0)</f>
        <v>2641</v>
      </c>
      <c r="K76" s="421">
        <f>ROUND($G76*E76,0)</f>
        <v>2640</v>
      </c>
      <c r="M76" s="67">
        <v>0</v>
      </c>
      <c r="N76" s="42"/>
      <c r="O76" s="28">
        <f>ROUND(M76*$E76,0)</f>
        <v>0</v>
      </c>
      <c r="Q76" s="83"/>
      <c r="R76" s="42"/>
      <c r="S76" s="28"/>
      <c r="T76" s="28"/>
      <c r="U76" s="17"/>
      <c r="V76" s="39"/>
      <c r="X76" s="86"/>
      <c r="Y76" s="28"/>
      <c r="Z76" s="120"/>
    </row>
    <row r="77" spans="1:26">
      <c r="A77" s="40" t="s">
        <v>57</v>
      </c>
      <c r="C77" s="407">
        <v>29266.767857142899</v>
      </c>
      <c r="E77" s="422">
        <f>ROUND(C77*$E$82/$C$82,0)</f>
        <v>29289</v>
      </c>
      <c r="G77" s="237">
        <v>5.6</v>
      </c>
      <c r="H77" s="420"/>
      <c r="I77" s="421">
        <f>ROUND($G77*C77,0)</f>
        <v>163894</v>
      </c>
      <c r="K77" s="421">
        <f>ROUND($G77*E77,0)</f>
        <v>164018</v>
      </c>
      <c r="M77" s="67">
        <v>0</v>
      </c>
      <c r="N77" s="42"/>
      <c r="O77" s="28">
        <f>ROUND(M77*$E77,0)</f>
        <v>0</v>
      </c>
      <c r="Q77" s="83"/>
      <c r="R77" s="42"/>
      <c r="S77" s="28"/>
      <c r="T77" s="79"/>
      <c r="U77" s="38"/>
      <c r="V77" s="79"/>
      <c r="W77"/>
      <c r="Z77" s="120"/>
    </row>
    <row r="78" spans="1:26">
      <c r="A78" s="40" t="s">
        <v>58</v>
      </c>
      <c r="C78" s="407">
        <v>19540.0133333333</v>
      </c>
      <c r="E78" s="422">
        <f>ROUND(C78*$E$82/$C$82,0)</f>
        <v>19555</v>
      </c>
      <c r="G78" s="237">
        <v>-0.5</v>
      </c>
      <c r="H78" s="420"/>
      <c r="I78" s="421">
        <f>ROUND($G78*C78,0)</f>
        <v>-9770</v>
      </c>
      <c r="K78" s="421">
        <f>ROUND($G78*E78,0)</f>
        <v>-9778</v>
      </c>
      <c r="M78" s="67">
        <v>0</v>
      </c>
      <c r="N78" s="42"/>
      <c r="O78" s="28">
        <f>ROUND(M78*$E78,0)</f>
        <v>0</v>
      </c>
      <c r="Q78" s="83"/>
      <c r="R78" s="42"/>
      <c r="S78" s="28"/>
      <c r="T78" s="79"/>
      <c r="U78" s="38"/>
      <c r="V78" s="79"/>
      <c r="Y78" s="28"/>
    </row>
    <row r="79" spans="1:26">
      <c r="A79" s="40" t="s">
        <v>59</v>
      </c>
      <c r="C79" s="407">
        <v>12152641.303952897</v>
      </c>
      <c r="E79" s="422">
        <f>E82-E81</f>
        <v>12259604.560000001</v>
      </c>
      <c r="G79" s="425">
        <v>5.9532999999999996</v>
      </c>
      <c r="H79" s="424" t="s">
        <v>17</v>
      </c>
      <c r="I79" s="421">
        <f>ROUND($G79*C79/100,0)</f>
        <v>723483</v>
      </c>
      <c r="K79" s="421">
        <f>ROUND($G79*E79/100,0)</f>
        <v>729851</v>
      </c>
      <c r="M79" s="491">
        <v>0</v>
      </c>
      <c r="N79" s="48" t="s">
        <v>17</v>
      </c>
      <c r="O79" s="28">
        <f>ROUND(M79*$E79/100,0)</f>
        <v>0</v>
      </c>
      <c r="Q79" s="121"/>
      <c r="R79" s="48"/>
      <c r="S79" s="28"/>
      <c r="T79" s="79"/>
      <c r="U79" s="122"/>
      <c r="V79" s="79"/>
      <c r="X79"/>
      <c r="Y79"/>
    </row>
    <row r="80" spans="1:26">
      <c r="A80" s="40" t="s">
        <v>60</v>
      </c>
      <c r="C80" s="407">
        <v>0</v>
      </c>
      <c r="E80" s="422">
        <f>ROUND(C80*($E$76/$C$76),0)</f>
        <v>0</v>
      </c>
      <c r="G80" s="237">
        <v>5</v>
      </c>
      <c r="H80" s="420"/>
      <c r="I80" s="421">
        <f>ROUND($G80*C80,0)</f>
        <v>0</v>
      </c>
      <c r="K80" s="421">
        <f>ROUND($G80*E80,0)</f>
        <v>0</v>
      </c>
      <c r="M80" s="67">
        <v>0</v>
      </c>
      <c r="N80" s="42"/>
      <c r="O80" s="28">
        <f>ROUND(M80*$E80,0)</f>
        <v>0</v>
      </c>
      <c r="Q80" s="83"/>
      <c r="R80" s="42"/>
      <c r="S80" s="28"/>
      <c r="T80" s="79"/>
      <c r="U80" s="85"/>
      <c r="V80" s="123"/>
      <c r="W80" s="117"/>
    </row>
    <row r="81" spans="1:26">
      <c r="A81" s="40" t="s">
        <v>41</v>
      </c>
      <c r="C81" s="428">
        <v>97853</v>
      </c>
      <c r="E81" s="428">
        <v>0</v>
      </c>
      <c r="I81" s="429">
        <v>7920</v>
      </c>
      <c r="K81" s="429">
        <v>0</v>
      </c>
      <c r="O81" s="90">
        <v>0</v>
      </c>
      <c r="S81" s="90"/>
      <c r="U81" s="85"/>
      <c r="V81" s="123"/>
      <c r="W81" s="117"/>
    </row>
    <row r="82" spans="1:26" ht="16.5" thickBot="1">
      <c r="A82" s="40" t="s">
        <v>43</v>
      </c>
      <c r="C82" s="441">
        <f>C79+C81</f>
        <v>12250494.303952897</v>
      </c>
      <c r="E82" s="430">
        <v>12259604.560000001</v>
      </c>
      <c r="G82" s="442"/>
      <c r="H82" s="443"/>
      <c r="I82" s="440">
        <f>SUM(I76:I81)</f>
        <v>888168</v>
      </c>
      <c r="K82" s="440">
        <f>SUM(K76:K81)</f>
        <v>886731</v>
      </c>
      <c r="M82" s="126"/>
      <c r="N82" s="125"/>
      <c r="O82" s="114">
        <f>SUM(O76:O81)</f>
        <v>0</v>
      </c>
      <c r="Q82" s="127"/>
      <c r="R82" s="125"/>
      <c r="S82" s="114"/>
      <c r="U82" s="85"/>
      <c r="V82" s="123"/>
      <c r="W82" s="117"/>
      <c r="X82" s="117"/>
      <c r="Y82" s="43"/>
    </row>
    <row r="83" spans="1:26" ht="16.5" thickTop="1">
      <c r="A83" s="40" t="s">
        <v>45</v>
      </c>
      <c r="C83" s="407"/>
      <c r="E83" s="407"/>
      <c r="G83" s="433"/>
      <c r="H83" s="434"/>
      <c r="I83" s="429">
        <v>39725.517899999999</v>
      </c>
      <c r="K83" s="429">
        <f>I83</f>
        <v>39725.517899999999</v>
      </c>
      <c r="M83" s="36"/>
      <c r="N83" s="99"/>
      <c r="O83" s="89">
        <v>0</v>
      </c>
      <c r="Q83" s="36"/>
      <c r="R83" s="99"/>
      <c r="S83" s="89"/>
      <c r="T83" s="28"/>
      <c r="U83" s="85"/>
      <c r="V83" s="61"/>
      <c r="W83" s="117"/>
      <c r="X83" s="117"/>
      <c r="Y83" s="43"/>
    </row>
    <row r="84" spans="1:26">
      <c r="A84" s="40" t="s">
        <v>46</v>
      </c>
      <c r="C84" s="407"/>
      <c r="E84" s="407"/>
      <c r="G84" s="433">
        <f>M84</f>
        <v>3.7100000000000001E-2</v>
      </c>
      <c r="H84" s="434"/>
      <c r="I84" s="429">
        <f>ROUND(SUM(I77:I79,I83)*$G84,0)</f>
        <v>34033</v>
      </c>
      <c r="K84" s="429">
        <f>ROUND(SUM(K77:K79,K83)*$G84,0)</f>
        <v>34274</v>
      </c>
      <c r="M84" s="98">
        <v>3.7100000000000001E-2</v>
      </c>
      <c r="N84" s="99"/>
      <c r="O84" s="89">
        <f>ROUND(SUM(O77:O79,O83)*M84,0)</f>
        <v>0</v>
      </c>
      <c r="Q84" s="98"/>
      <c r="R84" s="99"/>
      <c r="S84" s="89"/>
      <c r="T84" s="28"/>
      <c r="U84" s="85"/>
      <c r="V84" s="123"/>
      <c r="X84" s="117"/>
      <c r="Y84" s="43"/>
      <c r="Z84" s="27"/>
    </row>
    <row r="85" spans="1:26">
      <c r="A85" s="40"/>
      <c r="C85" s="407"/>
      <c r="E85" s="407"/>
      <c r="G85" s="444"/>
      <c r="H85" s="443"/>
      <c r="M85" s="129"/>
      <c r="N85" s="125"/>
      <c r="Q85" s="130"/>
      <c r="R85" s="125"/>
      <c r="T85" s="28"/>
      <c r="X85" s="117"/>
      <c r="Y85" s="131"/>
      <c r="Z85" s="27"/>
    </row>
    <row r="86" spans="1:26">
      <c r="A86" s="37" t="s">
        <v>61</v>
      </c>
      <c r="C86" s="407"/>
      <c r="E86" s="407"/>
      <c r="T86" s="28"/>
    </row>
    <row r="87" spans="1:26">
      <c r="A87" s="40" t="s">
        <v>13</v>
      </c>
      <c r="C87" s="407">
        <v>14.967000000000001</v>
      </c>
      <c r="E87" s="422">
        <f>ROUND(E76*C87/C76,0)</f>
        <v>15</v>
      </c>
      <c r="G87" s="445">
        <v>8</v>
      </c>
      <c r="H87" s="426"/>
      <c r="I87" s="421">
        <f>ROUND($G87*C87,0)</f>
        <v>120</v>
      </c>
      <c r="K87" s="421">
        <f>ROUND($G87*E87,0)</f>
        <v>120</v>
      </c>
      <c r="M87" s="133">
        <f>M620</f>
        <v>9</v>
      </c>
      <c r="N87" s="132"/>
      <c r="O87" s="28">
        <f>ROUND(M87*$E87,0)</f>
        <v>135</v>
      </c>
      <c r="Q87" s="130"/>
      <c r="R87" s="132"/>
      <c r="S87" s="28"/>
      <c r="T87" s="28"/>
      <c r="U87" s="134"/>
    </row>
    <row r="88" spans="1:26">
      <c r="A88" s="40" t="s">
        <v>62</v>
      </c>
      <c r="C88" s="407">
        <v>33.167199248120298</v>
      </c>
      <c r="E88" s="422">
        <f>ROUND(E$645*C88/C$645,0)</f>
        <v>36</v>
      </c>
      <c r="G88" s="445">
        <v>7.25</v>
      </c>
      <c r="H88" s="426"/>
      <c r="I88" s="421">
        <f>ROUND($G88*C88,0)</f>
        <v>240</v>
      </c>
      <c r="K88" s="421">
        <f>ROUND($G88*E88,0)</f>
        <v>261</v>
      </c>
      <c r="M88" s="133">
        <f t="shared" ref="M88:M95" si="19">M621</f>
        <v>8</v>
      </c>
      <c r="N88" s="132"/>
      <c r="O88" s="28">
        <f>ROUND(M88*$E88,0)</f>
        <v>288</v>
      </c>
      <c r="Q88" s="130">
        <f t="shared" ref="Q88:Q94" si="20">Q621</f>
        <v>-2.64E-2</v>
      </c>
      <c r="R88" s="132"/>
      <c r="S88" s="28">
        <f t="shared" ref="S88:S89" si="21">O88*Q88*254/365</f>
        <v>-5.29099397260274</v>
      </c>
      <c r="T88" s="28"/>
      <c r="U88" s="101"/>
    </row>
    <row r="89" spans="1:26">
      <c r="A89" s="40" t="s">
        <v>63</v>
      </c>
      <c r="C89" s="407">
        <v>11</v>
      </c>
      <c r="E89" s="422">
        <f>ROUND(E$645*C89/C$645,0)</f>
        <v>12</v>
      </c>
      <c r="G89" s="445">
        <v>7.3</v>
      </c>
      <c r="H89" s="426"/>
      <c r="I89" s="421">
        <f>ROUND($G89*C89,0)</f>
        <v>80</v>
      </c>
      <c r="K89" s="421">
        <f>ROUND($G89*E89,0)</f>
        <v>88</v>
      </c>
      <c r="M89" s="133">
        <f t="shared" si="19"/>
        <v>8.0500000000000007</v>
      </c>
      <c r="N89" s="132"/>
      <c r="O89" s="28">
        <f>ROUND(M89*$E89,0)</f>
        <v>97</v>
      </c>
      <c r="Q89" s="130">
        <f t="shared" si="20"/>
        <v>-2.64E-2</v>
      </c>
      <c r="R89" s="132"/>
      <c r="S89" s="28">
        <f t="shared" si="21"/>
        <v>-1.7820361643835618</v>
      </c>
      <c r="T89" s="28"/>
      <c r="U89" s="101"/>
    </row>
    <row r="90" spans="1:26">
      <c r="A90" s="40" t="s">
        <v>64</v>
      </c>
      <c r="C90" s="407">
        <v>0</v>
      </c>
      <c r="E90" s="422">
        <f>ROUND(E$645*C90/C$645,0)</f>
        <v>0</v>
      </c>
      <c r="G90" s="445">
        <v>-0.41</v>
      </c>
      <c r="H90" s="426"/>
      <c r="I90" s="421">
        <f>ROUND($G90*C90,0)</f>
        <v>0</v>
      </c>
      <c r="K90" s="421">
        <f>ROUND($G90*E90,0)</f>
        <v>0</v>
      </c>
      <c r="M90" s="133">
        <f t="shared" si="19"/>
        <v>-0.45</v>
      </c>
      <c r="N90" s="132"/>
      <c r="O90" s="28">
        <f>ROUND(M90*$E90,0)</f>
        <v>0</v>
      </c>
      <c r="Q90" s="130"/>
      <c r="R90" s="132"/>
      <c r="S90" s="28"/>
      <c r="T90" s="28"/>
      <c r="U90" s="101"/>
    </row>
    <row r="91" spans="1:26">
      <c r="A91" s="40" t="s">
        <v>65</v>
      </c>
      <c r="C91" s="407">
        <v>11986</v>
      </c>
      <c r="E91" s="422">
        <f>ROUND(E$645*C91/SUM(C$639:C$642),0)</f>
        <v>13028</v>
      </c>
      <c r="G91" s="444">
        <v>9.8214000000000006</v>
      </c>
      <c r="H91" s="424" t="s">
        <v>17</v>
      </c>
      <c r="I91" s="421">
        <f>ROUND($G91*C91/100,0)</f>
        <v>1177</v>
      </c>
      <c r="K91" s="421">
        <f>ROUND($G91*E91/100,0)</f>
        <v>1280</v>
      </c>
      <c r="M91" s="129">
        <f t="shared" si="19"/>
        <v>10.8148</v>
      </c>
      <c r="N91" s="48" t="s">
        <v>17</v>
      </c>
      <c r="O91" s="28">
        <f>ROUND(M91*$E91/100,0)</f>
        <v>1409</v>
      </c>
      <c r="Q91" s="130">
        <f t="shared" si="20"/>
        <v>-2.64E-2</v>
      </c>
      <c r="R91" s="48"/>
      <c r="S91" s="28">
        <f t="shared" ref="S91:S94" si="22">O91*Q91*254/365</f>
        <v>-25.885453150684931</v>
      </c>
      <c r="T91" s="28"/>
      <c r="V91" s="135"/>
      <c r="W91"/>
    </row>
    <row r="92" spans="1:26">
      <c r="A92" s="40" t="s">
        <v>66</v>
      </c>
      <c r="C92" s="407">
        <v>39244</v>
      </c>
      <c r="E92" s="422">
        <f>ROUND(E$645*C92/SUM(C$639:C$642),0)</f>
        <v>42657</v>
      </c>
      <c r="G92" s="444">
        <v>5.5063000000000004</v>
      </c>
      <c r="H92" s="424" t="s">
        <v>17</v>
      </c>
      <c r="I92" s="421">
        <f>ROUND($G92*C92/100,0)</f>
        <v>2161</v>
      </c>
      <c r="K92" s="421">
        <f>ROUND($G92*E92/100,0)</f>
        <v>2349</v>
      </c>
      <c r="M92" s="129">
        <f t="shared" si="19"/>
        <v>6.0632000000000001</v>
      </c>
      <c r="N92" s="48" t="s">
        <v>17</v>
      </c>
      <c r="O92" s="28">
        <f>ROUND(M92*$E92/100,0)</f>
        <v>2586</v>
      </c>
      <c r="Q92" s="130">
        <f t="shared" si="20"/>
        <v>-2.64E-2</v>
      </c>
      <c r="R92" s="48"/>
      <c r="S92" s="28">
        <f t="shared" si="22"/>
        <v>-47.50871671232877</v>
      </c>
      <c r="T92" s="79"/>
      <c r="U92" s="101"/>
      <c r="V92" s="135"/>
    </row>
    <row r="93" spans="1:26">
      <c r="A93" s="40" t="s">
        <v>67</v>
      </c>
      <c r="C93" s="407">
        <v>10036</v>
      </c>
      <c r="E93" s="422">
        <f>ROUND(E$645*C93/SUM(C$639:C$642),0)</f>
        <v>10909</v>
      </c>
      <c r="G93" s="444">
        <v>9.0399999999999991</v>
      </c>
      <c r="H93" s="424" t="s">
        <v>17</v>
      </c>
      <c r="I93" s="421">
        <f>ROUND($G93*C93/100,0)</f>
        <v>907</v>
      </c>
      <c r="K93" s="421">
        <f>ROUND($G93*E93/100,0)</f>
        <v>986</v>
      </c>
      <c r="M93" s="129">
        <f t="shared" si="19"/>
        <v>9.9543999999999997</v>
      </c>
      <c r="N93" s="48" t="s">
        <v>17</v>
      </c>
      <c r="O93" s="28">
        <f>ROUND(M93*$E93/100,0)</f>
        <v>1086</v>
      </c>
      <c r="Q93" s="130">
        <f t="shared" si="20"/>
        <v>-2.64E-2</v>
      </c>
      <c r="R93" s="48"/>
      <c r="S93" s="28">
        <f t="shared" si="22"/>
        <v>-19.951456438356164</v>
      </c>
      <c r="T93" s="79"/>
      <c r="V93" s="135"/>
      <c r="X93"/>
      <c r="Y93"/>
    </row>
    <row r="94" spans="1:26">
      <c r="A94" s="40" t="s">
        <v>68</v>
      </c>
      <c r="C94" s="407">
        <v>27316</v>
      </c>
      <c r="E94" s="422">
        <f>E97-SUM(E91:E93)</f>
        <v>22769</v>
      </c>
      <c r="G94" s="444">
        <v>5.0688000000000004</v>
      </c>
      <c r="H94" s="424" t="s">
        <v>17</v>
      </c>
      <c r="I94" s="421">
        <f>ROUND($G94*C94/100,0)</f>
        <v>1385</v>
      </c>
      <c r="K94" s="421">
        <f>ROUND($G94*E94/100,0)</f>
        <v>1154</v>
      </c>
      <c r="M94" s="129">
        <f t="shared" si="19"/>
        <v>5.5771999999999995</v>
      </c>
      <c r="N94" s="48" t="s">
        <v>17</v>
      </c>
      <c r="O94" s="28">
        <f>ROUND(M94*$E94/100,0)</f>
        <v>1270</v>
      </c>
      <c r="Q94" s="130">
        <f t="shared" si="20"/>
        <v>-2.64E-2</v>
      </c>
      <c r="R94" s="48"/>
      <c r="S94" s="28">
        <f t="shared" si="22"/>
        <v>-23.331813698630135</v>
      </c>
      <c r="T94" s="79"/>
      <c r="V94" s="135"/>
    </row>
    <row r="95" spans="1:26">
      <c r="A95" s="40" t="s">
        <v>69</v>
      </c>
      <c r="C95" s="407">
        <v>0</v>
      </c>
      <c r="E95" s="422">
        <f>ROUND(C95*E87/C87,0)</f>
        <v>0</v>
      </c>
      <c r="G95" s="445">
        <v>96</v>
      </c>
      <c r="H95" s="426"/>
      <c r="I95" s="421">
        <f>ROUND($G95*C95,0)</f>
        <v>0</v>
      </c>
      <c r="K95" s="421">
        <f>ROUND($G95*E95,0)</f>
        <v>0</v>
      </c>
      <c r="M95" s="133">
        <f t="shared" si="19"/>
        <v>108</v>
      </c>
      <c r="N95" s="132"/>
      <c r="O95" s="28">
        <f>ROUND(M95*$E95,0)</f>
        <v>0</v>
      </c>
      <c r="Q95" s="130"/>
      <c r="R95" s="132"/>
      <c r="S95" s="28"/>
      <c r="T95" s="79"/>
      <c r="Z95"/>
    </row>
    <row r="96" spans="1:26">
      <c r="A96" s="40" t="s">
        <v>41</v>
      </c>
      <c r="C96" s="428">
        <v>713</v>
      </c>
      <c r="E96" s="428">
        <v>0</v>
      </c>
      <c r="I96" s="429">
        <v>58</v>
      </c>
      <c r="K96" s="429">
        <v>0</v>
      </c>
      <c r="O96" s="89">
        <v>0</v>
      </c>
      <c r="S96" s="89"/>
    </row>
    <row r="97" spans="1:26" ht="16.5" thickBot="1">
      <c r="A97" s="40" t="s">
        <v>43</v>
      </c>
      <c r="C97" s="441">
        <f>SUM(C91:C94,C96)</f>
        <v>89295</v>
      </c>
      <c r="E97" s="441">
        <v>89363</v>
      </c>
      <c r="G97" s="439"/>
      <c r="I97" s="440">
        <f>SUM(I87:I96)</f>
        <v>6128</v>
      </c>
      <c r="K97" s="440">
        <f>SUM(K87:K96)</f>
        <v>6238</v>
      </c>
      <c r="M97" s="115"/>
      <c r="O97" s="114">
        <f>SUM(O87:O96)</f>
        <v>6871</v>
      </c>
      <c r="Q97" s="116"/>
      <c r="S97" s="114">
        <f>SUM(S87:S96)</f>
        <v>-123.75047013698631</v>
      </c>
      <c r="U97" s="27" t="s">
        <v>26</v>
      </c>
      <c r="V97" s="108">
        <f>O97/K97-1</f>
        <v>0.10147483167681948</v>
      </c>
    </row>
    <row r="98" spans="1:26" ht="16.5" thickTop="1">
      <c r="A98" s="40" t="s">
        <v>45</v>
      </c>
      <c r="C98" s="407"/>
      <c r="E98" s="446"/>
      <c r="G98" s="433"/>
      <c r="H98" s="434"/>
      <c r="I98" s="429">
        <f>ROUND(I83*I97/(I97+I111),0)</f>
        <v>319</v>
      </c>
      <c r="K98" s="429">
        <f>I98</f>
        <v>319</v>
      </c>
      <c r="M98" s="36"/>
      <c r="N98" s="99"/>
      <c r="O98" s="89">
        <v>0</v>
      </c>
      <c r="Q98" s="36"/>
      <c r="R98" s="99"/>
      <c r="S98" s="89"/>
      <c r="T98" s="28"/>
      <c r="U98" s="15" t="s">
        <v>48</v>
      </c>
      <c r="V98" s="123">
        <f>(O97+O98)/(K97+K98)-1</f>
        <v>4.7887753545828859E-2</v>
      </c>
    </row>
    <row r="99" spans="1:26">
      <c r="A99" s="40" t="s">
        <v>46</v>
      </c>
      <c r="C99" s="407"/>
      <c r="E99" s="446"/>
      <c r="G99" s="433">
        <f>M99</f>
        <v>3.95E-2</v>
      </c>
      <c r="H99" s="434"/>
      <c r="I99" s="429">
        <f>ROUND(SUM(I88:I94,I98)*$G99,0)</f>
        <v>248</v>
      </c>
      <c r="K99" s="429">
        <f>ROUND(SUM(K88:K94,K98)*$G99,0)</f>
        <v>254</v>
      </c>
      <c r="M99" s="136">
        <v>3.95E-2</v>
      </c>
      <c r="N99" s="118"/>
      <c r="O99" s="89">
        <f>ROUND(SUM(O88:O94,O98)*M99,0)</f>
        <v>266</v>
      </c>
      <c r="Q99" s="136"/>
      <c r="R99" s="118"/>
      <c r="S99" s="89"/>
      <c r="T99" s="28"/>
      <c r="V99"/>
    </row>
    <row r="100" spans="1:26">
      <c r="C100" s="407"/>
      <c r="E100" s="407"/>
      <c r="T100" s="28"/>
    </row>
    <row r="101" spans="1:26">
      <c r="A101" s="37" t="s">
        <v>70</v>
      </c>
      <c r="C101" s="407"/>
      <c r="E101" s="407"/>
      <c r="T101" s="28"/>
    </row>
    <row r="102" spans="1:26">
      <c r="A102" s="40" t="s">
        <v>13</v>
      </c>
      <c r="C102" s="407">
        <v>117.06750000000001</v>
      </c>
      <c r="E102" s="407">
        <f>E76-E87</f>
        <v>117</v>
      </c>
      <c r="G102" s="445">
        <v>45</v>
      </c>
      <c r="H102" s="426"/>
      <c r="I102" s="421">
        <f>ROUND($G102*C102,0)</f>
        <v>5268</v>
      </c>
      <c r="K102" s="421">
        <f>ROUND($G102*E102,0)</f>
        <v>5265</v>
      </c>
      <c r="M102" s="133">
        <f>M116</f>
        <v>50</v>
      </c>
      <c r="N102" s="132"/>
      <c r="O102" s="28">
        <f>ROUND(M102*$E102,0)</f>
        <v>5850</v>
      </c>
      <c r="Q102" s="130"/>
      <c r="R102" s="132"/>
      <c r="S102" s="28"/>
      <c r="T102" s="28"/>
      <c r="X102" s="45">
        <f t="shared" ref="X102:X105" si="23">M102/G102-1</f>
        <v>0.11111111111111116</v>
      </c>
    </row>
    <row r="103" spans="1:26">
      <c r="A103" s="40" t="s">
        <v>71</v>
      </c>
      <c r="C103" s="407">
        <v>12803.999718045114</v>
      </c>
      <c r="E103" s="407">
        <f>ROUND(E$139*C103/C$139,0)</f>
        <v>13911</v>
      </c>
      <c r="G103" s="445">
        <v>15.16</v>
      </c>
      <c r="H103" s="426"/>
      <c r="I103" s="421">
        <f>ROUND($G103*C103,0)</f>
        <v>194109</v>
      </c>
      <c r="K103" s="421">
        <f>ROUND($G103*E103,0)</f>
        <v>210891</v>
      </c>
      <c r="M103" s="133">
        <f t="shared" ref="M103:M105" si="24">M117</f>
        <v>16.84</v>
      </c>
      <c r="N103" s="132"/>
      <c r="O103" s="28">
        <f>ROUND(M103*$E103,0)</f>
        <v>234261</v>
      </c>
      <c r="Q103" s="130">
        <f t="shared" ref="Q103:Q104" si="25">Q117</f>
        <v>-2.7799999999999998E-2</v>
      </c>
      <c r="R103" s="132"/>
      <c r="S103" s="28">
        <f t="shared" ref="S103:S104" si="26">O103*Q103*254/365</f>
        <v>-4531.9555430136988</v>
      </c>
      <c r="T103" s="28"/>
      <c r="X103" s="45">
        <f t="shared" si="23"/>
        <v>0.1108179419525066</v>
      </c>
    </row>
    <row r="104" spans="1:26">
      <c r="A104" s="40" t="s">
        <v>72</v>
      </c>
      <c r="C104" s="407">
        <v>16205.6</v>
      </c>
      <c r="E104" s="407">
        <f>ROUND(E$139*C104/C$139,0)</f>
        <v>17607</v>
      </c>
      <c r="G104" s="445">
        <v>12.17</v>
      </c>
      <c r="H104" s="426"/>
      <c r="I104" s="421">
        <f>ROUND($G104*C104,0)</f>
        <v>197222</v>
      </c>
      <c r="K104" s="421">
        <f>ROUND($G104*E104,0)</f>
        <v>214277</v>
      </c>
      <c r="M104" s="133">
        <f t="shared" si="24"/>
        <v>13.52</v>
      </c>
      <c r="N104" s="132"/>
      <c r="O104" s="28">
        <f>ROUND(M104*$E104,0)</f>
        <v>238047</v>
      </c>
      <c r="Q104" s="130">
        <f t="shared" si="25"/>
        <v>-2.7799999999999998E-2</v>
      </c>
      <c r="R104" s="132"/>
      <c r="S104" s="28">
        <f t="shared" si="26"/>
        <v>-4605.1985654794516</v>
      </c>
      <c r="T104" s="28"/>
      <c r="X104" s="45">
        <f t="shared" si="23"/>
        <v>0.11092851273623672</v>
      </c>
    </row>
    <row r="105" spans="1:26">
      <c r="A105" s="40" t="s">
        <v>64</v>
      </c>
      <c r="C105" s="407">
        <v>19540.013333333329</v>
      </c>
      <c r="E105" s="407">
        <f>ROUND(E$139*C105/C$139,0)</f>
        <v>21230</v>
      </c>
      <c r="G105" s="445">
        <v>-0.78</v>
      </c>
      <c r="H105" s="426"/>
      <c r="I105" s="421">
        <f>ROUND($G105*C105,0)</f>
        <v>-15241</v>
      </c>
      <c r="K105" s="421">
        <f>ROUND($G105*E105,0)</f>
        <v>-16559</v>
      </c>
      <c r="M105" s="133">
        <f t="shared" si="24"/>
        <v>-0.87</v>
      </c>
      <c r="N105" s="132"/>
      <c r="O105" s="28">
        <f>ROUND(M105*$E105,0)</f>
        <v>-18470</v>
      </c>
      <c r="Q105" s="130"/>
      <c r="R105" s="132"/>
      <c r="S105" s="28"/>
      <c r="T105" s="28"/>
      <c r="W105"/>
      <c r="X105" s="45">
        <f t="shared" si="23"/>
        <v>0.11538461538461542</v>
      </c>
    </row>
    <row r="106" spans="1:26">
      <c r="A106" s="40" t="s">
        <v>59</v>
      </c>
      <c r="C106" s="407">
        <f>SUM(C107:C108)</f>
        <v>12064060</v>
      </c>
      <c r="E106" s="407">
        <f>SUM(E107:E108)</f>
        <v>12170241.560000001</v>
      </c>
      <c r="G106" s="444"/>
      <c r="H106" s="424"/>
      <c r="I106" s="421"/>
      <c r="K106" s="421"/>
      <c r="M106" s="129"/>
      <c r="N106" s="48"/>
      <c r="O106" s="28"/>
      <c r="Q106" s="130"/>
      <c r="R106" s="48"/>
      <c r="S106" s="28"/>
      <c r="T106" s="79"/>
    </row>
    <row r="107" spans="1:26">
      <c r="A107" s="40" t="s">
        <v>73</v>
      </c>
      <c r="C107" s="407">
        <v>4995071</v>
      </c>
      <c r="E107" s="407">
        <f>ROUND(E$139*C107/(C$139-C$138),0)</f>
        <v>5442889</v>
      </c>
      <c r="G107" s="444">
        <v>3.1907000000000001</v>
      </c>
      <c r="H107" s="424" t="s">
        <v>17</v>
      </c>
      <c r="I107" s="421">
        <f>ROUND($G107*C107/100,0)</f>
        <v>159378</v>
      </c>
      <c r="K107" s="421">
        <f>ROUND($G107*E107/100,0)</f>
        <v>173666</v>
      </c>
      <c r="M107" s="129">
        <f t="shared" ref="M107:M109" si="27">M121</f>
        <v>3.5438999999999998</v>
      </c>
      <c r="N107" s="48" t="s">
        <v>17</v>
      </c>
      <c r="O107" s="28">
        <f>ROUND(M107*$E107/100,0)</f>
        <v>192891</v>
      </c>
      <c r="Q107" s="130">
        <f t="shared" ref="Q107:Q108" si="28">Q121</f>
        <v>-2.7799999999999998E-2</v>
      </c>
      <c r="R107" s="48"/>
      <c r="S107" s="28">
        <f t="shared" ref="S107:S108" si="29">O107*Q107*254/365</f>
        <v>-3731.6217238356162</v>
      </c>
      <c r="T107" s="79"/>
      <c r="X107" s="45">
        <f t="shared" ref="X107:X109" si="30">M107/G107-1</f>
        <v>0.11069671232018052</v>
      </c>
      <c r="Y107"/>
    </row>
    <row r="108" spans="1:26">
      <c r="A108" s="40" t="s">
        <v>74</v>
      </c>
      <c r="C108" s="407">
        <v>7068989</v>
      </c>
      <c r="E108" s="407">
        <f>E111-E107</f>
        <v>6727352.5600000005</v>
      </c>
      <c r="G108" s="444">
        <v>2.9416000000000002</v>
      </c>
      <c r="H108" s="424" t="s">
        <v>17</v>
      </c>
      <c r="I108" s="421">
        <f>ROUND($G108*C108/100,0)</f>
        <v>207941</v>
      </c>
      <c r="K108" s="421">
        <f>ROUND($G108*E108/100,0)</f>
        <v>197892</v>
      </c>
      <c r="M108" s="129">
        <f t="shared" si="27"/>
        <v>3.2658999999999998</v>
      </c>
      <c r="N108" s="48" t="s">
        <v>17</v>
      </c>
      <c r="O108" s="28">
        <f>ROUND(M108*$E108/100,0)</f>
        <v>219709</v>
      </c>
      <c r="Q108" s="130">
        <f t="shared" si="28"/>
        <v>-2.7799999999999998E-2</v>
      </c>
      <c r="R108" s="48"/>
      <c r="S108" s="28">
        <f t="shared" si="29"/>
        <v>-4250.4361391780812</v>
      </c>
      <c r="T108" s="79"/>
      <c r="U108" s="101"/>
      <c r="X108" s="45">
        <f t="shared" si="30"/>
        <v>0.11024612455806349</v>
      </c>
    </row>
    <row r="109" spans="1:26">
      <c r="A109" s="40" t="s">
        <v>69</v>
      </c>
      <c r="C109" s="422">
        <v>0</v>
      </c>
      <c r="E109" s="407">
        <f>ROUND(C109*E102/C102,0)</f>
        <v>0</v>
      </c>
      <c r="G109" s="445">
        <v>540</v>
      </c>
      <c r="H109" s="426"/>
      <c r="I109" s="421">
        <f>ROUND($G109*C109,0)</f>
        <v>0</v>
      </c>
      <c r="K109" s="421">
        <f>ROUND($G109*E109,0)</f>
        <v>0</v>
      </c>
      <c r="M109" s="133">
        <f t="shared" si="27"/>
        <v>600</v>
      </c>
      <c r="N109" s="132"/>
      <c r="O109" s="28">
        <f>ROUND(M109*$E109,0)</f>
        <v>0</v>
      </c>
      <c r="Q109" s="130"/>
      <c r="R109" s="132"/>
      <c r="S109" s="28"/>
      <c r="T109" s="79"/>
      <c r="X109" s="45">
        <f t="shared" si="30"/>
        <v>0.11111111111111116</v>
      </c>
      <c r="Z109"/>
    </row>
    <row r="110" spans="1:26">
      <c r="A110" s="40" t="s">
        <v>41</v>
      </c>
      <c r="C110" s="428">
        <f>C81-C96</f>
        <v>97140</v>
      </c>
      <c r="E110" s="428">
        <v>0</v>
      </c>
      <c r="I110" s="429">
        <f>I81-I96</f>
        <v>7862</v>
      </c>
      <c r="K110" s="429">
        <v>0</v>
      </c>
      <c r="O110" s="90">
        <v>0</v>
      </c>
      <c r="S110" s="90"/>
    </row>
    <row r="111" spans="1:26" ht="16.5" thickBot="1">
      <c r="A111" s="40" t="s">
        <v>43</v>
      </c>
      <c r="C111" s="441">
        <f>SUM(C107:C108,C110)</f>
        <v>12161200</v>
      </c>
      <c r="E111" s="441">
        <f>E82-E97</f>
        <v>12170241.560000001</v>
      </c>
      <c r="G111" s="439"/>
      <c r="I111" s="440">
        <f>SUM(I102:I110)</f>
        <v>756539</v>
      </c>
      <c r="K111" s="440">
        <f>SUM(K102:K110)</f>
        <v>785432</v>
      </c>
      <c r="M111" s="115"/>
      <c r="O111" s="114">
        <f>SUM(O102:O110)</f>
        <v>872288</v>
      </c>
      <c r="Q111" s="116"/>
      <c r="S111" s="114">
        <f>SUM(S102:S110)</f>
        <v>-17119.211971506847</v>
      </c>
      <c r="U111" s="27" t="s">
        <v>26</v>
      </c>
      <c r="V111" s="108">
        <f>O111/K111-1</f>
        <v>0.11058372971816777</v>
      </c>
    </row>
    <row r="112" spans="1:26" ht="16.5" thickTop="1">
      <c r="A112" s="40" t="s">
        <v>45</v>
      </c>
      <c r="C112" s="407"/>
      <c r="E112" s="407"/>
      <c r="G112" s="433"/>
      <c r="H112" s="434"/>
      <c r="I112" s="429">
        <f>I83-I98</f>
        <v>39406.517899999999</v>
      </c>
      <c r="K112" s="429">
        <f>I112</f>
        <v>39406.517899999999</v>
      </c>
      <c r="M112" s="36"/>
      <c r="N112" s="99"/>
      <c r="O112" s="89">
        <v>0</v>
      </c>
      <c r="Q112" s="36"/>
      <c r="R112" s="99"/>
      <c r="S112" s="89"/>
      <c r="T112" s="28"/>
      <c r="U112" s="15" t="s">
        <v>48</v>
      </c>
      <c r="V112" s="123">
        <f>(O111+O112)/(K111+K112)-1</f>
        <v>5.7525783617385029E-2</v>
      </c>
    </row>
    <row r="113" spans="1:26">
      <c r="A113" s="40" t="s">
        <v>46</v>
      </c>
      <c r="C113" s="407"/>
      <c r="E113" s="407"/>
      <c r="G113" s="433">
        <f>M113</f>
        <v>3.7600000000000001E-2</v>
      </c>
      <c r="H113" s="434"/>
      <c r="I113" s="429">
        <f>ROUND(SUM(I103:I108,I112)*$G113,0)</f>
        <v>29434</v>
      </c>
      <c r="K113" s="429">
        <f>ROUND(SUM(K103:K108,K112)*$G113,0)</f>
        <v>30816</v>
      </c>
      <c r="M113" s="136">
        <v>3.7600000000000001E-2</v>
      </c>
      <c r="N113" s="118"/>
      <c r="O113" s="89">
        <f>ROUND(SUM(O103:O108,O112)*M113,0)</f>
        <v>32578</v>
      </c>
      <c r="Q113" s="136"/>
      <c r="R113" s="118"/>
      <c r="S113" s="89"/>
      <c r="T113" s="28"/>
      <c r="V113"/>
    </row>
    <row r="114" spans="1:26">
      <c r="T114" s="28"/>
    </row>
    <row r="115" spans="1:26">
      <c r="A115" s="37" t="s">
        <v>75</v>
      </c>
      <c r="C115" s="407"/>
      <c r="E115" s="407"/>
      <c r="T115" s="28"/>
      <c r="W115" s="117"/>
      <c r="Z115" s="27"/>
    </row>
    <row r="116" spans="1:26">
      <c r="A116" s="40" t="s">
        <v>13</v>
      </c>
      <c r="C116" s="407">
        <f t="shared" ref="C116:C125" si="31">C130+C144+C158</f>
        <v>150898.7963555539</v>
      </c>
      <c r="E116" s="407">
        <f t="shared" ref="E116:E125" si="32">E130+E144+E158</f>
        <v>157795</v>
      </c>
      <c r="G116" s="237">
        <v>45</v>
      </c>
      <c r="H116" s="420"/>
      <c r="I116" s="421">
        <f>ROUND($G116*C116,0)</f>
        <v>6790446</v>
      </c>
      <c r="K116" s="421">
        <f>ROUND($G116*E116,0)</f>
        <v>7100775</v>
      </c>
      <c r="M116" s="237">
        <f>ROUND(G116*(1+V123),0)</f>
        <v>50</v>
      </c>
      <c r="N116" s="42"/>
      <c r="O116" s="28">
        <f>ROUND(M116*$E116,0)</f>
        <v>7889750</v>
      </c>
      <c r="Q116" s="44"/>
      <c r="R116" s="42"/>
      <c r="S116" s="28"/>
      <c r="T116" s="28"/>
      <c r="X116" s="45">
        <f t="shared" ref="X116:X119" si="33">M116/G116-1</f>
        <v>0.11111111111111116</v>
      </c>
      <c r="Z116" s="111"/>
    </row>
    <row r="117" spans="1:26">
      <c r="A117" s="40" t="s">
        <v>71</v>
      </c>
      <c r="C117" s="407">
        <f t="shared" si="31"/>
        <v>7057894.4626066536</v>
      </c>
      <c r="E117" s="407">
        <f t="shared" si="32"/>
        <v>7603766</v>
      </c>
      <c r="G117" s="237">
        <v>15.16</v>
      </c>
      <c r="H117" s="420"/>
      <c r="I117" s="421">
        <f>ROUND($G117*C117,0)</f>
        <v>106997680</v>
      </c>
      <c r="K117" s="421">
        <f>ROUND($G117*E117,0)</f>
        <v>115273093</v>
      </c>
      <c r="M117" s="41">
        <f>ROUND(G117*(1+$V$125),2)</f>
        <v>16.84</v>
      </c>
      <c r="N117" s="42"/>
      <c r="O117" s="28">
        <f>ROUND(M117*$E117,0)</f>
        <v>128047419</v>
      </c>
      <c r="Q117" s="137">
        <f t="shared" ref="Q117:Q118" si="34">$W$123</f>
        <v>-2.7799999999999998E-2</v>
      </c>
      <c r="R117" s="42"/>
      <c r="S117" s="28">
        <f>O117*Q117*254/365</f>
        <v>-2477173.7946378081</v>
      </c>
      <c r="T117" s="28"/>
      <c r="W117" s="86"/>
      <c r="X117" s="45">
        <f t="shared" si="33"/>
        <v>0.1108179419525066</v>
      </c>
      <c r="Y117" s="28"/>
    </row>
    <row r="118" spans="1:26">
      <c r="A118" s="40" t="s">
        <v>72</v>
      </c>
      <c r="C118" s="407">
        <f t="shared" si="31"/>
        <v>8488687.854879098</v>
      </c>
      <c r="E118" s="407">
        <f t="shared" si="32"/>
        <v>9144303</v>
      </c>
      <c r="G118" s="237">
        <v>12.17</v>
      </c>
      <c r="H118" s="420"/>
      <c r="I118" s="421">
        <f>ROUND($G118*C118,0)</f>
        <v>103307331</v>
      </c>
      <c r="K118" s="421">
        <f>ROUND($G118*E118,0)</f>
        <v>111286168</v>
      </c>
      <c r="M118" s="41">
        <f>ROUND(G118*(1+$V$125),2)</f>
        <v>13.52</v>
      </c>
      <c r="N118" s="42"/>
      <c r="O118" s="28">
        <f>ROUND(M118*$E118,0)</f>
        <v>123630977</v>
      </c>
      <c r="Q118" s="137">
        <f t="shared" si="34"/>
        <v>-2.7799999999999998E-2</v>
      </c>
      <c r="R118" s="42"/>
      <c r="S118" s="28">
        <f>O118*Q118*254/365</f>
        <v>-2391734.3966915067</v>
      </c>
      <c r="T118" s="28"/>
      <c r="U118" s="101" t="s">
        <v>76</v>
      </c>
      <c r="V118" s="135"/>
      <c r="W118" s="52" t="s">
        <v>4</v>
      </c>
      <c r="X118" s="45">
        <f t="shared" si="33"/>
        <v>0.11092851273623672</v>
      </c>
      <c r="Y118" s="28"/>
    </row>
    <row r="119" spans="1:26">
      <c r="A119" s="40" t="s">
        <v>64</v>
      </c>
      <c r="C119" s="407">
        <f t="shared" si="31"/>
        <v>510539.27925581927</v>
      </c>
      <c r="E119" s="407">
        <f t="shared" si="32"/>
        <v>541336</v>
      </c>
      <c r="G119" s="237">
        <v>-0.78</v>
      </c>
      <c r="H119" s="420"/>
      <c r="I119" s="421">
        <f>ROUND($G119*C119,0)</f>
        <v>-398221</v>
      </c>
      <c r="K119" s="421">
        <f>ROUND($G119*E119,0)</f>
        <v>-422242</v>
      </c>
      <c r="M119" s="41">
        <f>ROUND(G119*(1+$V$125),2)</f>
        <v>-0.87</v>
      </c>
      <c r="N119" s="42"/>
      <c r="O119" s="28">
        <f>ROUND(M119*$E119,0)</f>
        <v>-470962</v>
      </c>
      <c r="Q119" s="137"/>
      <c r="R119" s="42"/>
      <c r="S119" s="28"/>
      <c r="T119" s="28"/>
      <c r="U119" s="55" t="s">
        <v>20</v>
      </c>
      <c r="V119" s="56">
        <f>O111+O125+O181+O195+O209</f>
        <v>489858026</v>
      </c>
      <c r="W119" s="57">
        <f>S111+S125+S181+S195</f>
        <v>-8783451.0556493122</v>
      </c>
      <c r="X119" s="45">
        <f t="shared" si="33"/>
        <v>0.11538461538461542</v>
      </c>
      <c r="Y119" s="28"/>
      <c r="Z119" s="120"/>
    </row>
    <row r="120" spans="1:26">
      <c r="A120" s="40" t="s">
        <v>59</v>
      </c>
      <c r="C120" s="407">
        <f t="shared" si="31"/>
        <v>5446749961.592536</v>
      </c>
      <c r="E120" s="407">
        <f t="shared" si="32"/>
        <v>5890642305.7789135</v>
      </c>
      <c r="G120" s="438"/>
      <c r="H120" s="424"/>
      <c r="I120" s="421"/>
      <c r="K120" s="421"/>
      <c r="M120" s="110"/>
      <c r="N120" s="48"/>
      <c r="O120" s="28"/>
      <c r="Q120" s="137"/>
      <c r="R120" s="48"/>
      <c r="S120" s="28"/>
      <c r="T120" s="79"/>
      <c r="U120" s="60" t="s">
        <v>22</v>
      </c>
      <c r="V120" s="57">
        <f>(Stipulation!C8+Stipulation!E8)*1000</f>
        <v>489859510.13774896</v>
      </c>
      <c r="W120" s="57">
        <f>Stipulation!H8*1000-W201</f>
        <v>-8779315.5831476189</v>
      </c>
      <c r="Z120" s="120"/>
    </row>
    <row r="121" spans="1:26">
      <c r="A121" s="40" t="s">
        <v>77</v>
      </c>
      <c r="C121" s="407">
        <f t="shared" si="31"/>
        <v>2431525176.4231091</v>
      </c>
      <c r="E121" s="407">
        <f t="shared" si="32"/>
        <v>2629252324</v>
      </c>
      <c r="G121" s="444">
        <v>3.1907000000000001</v>
      </c>
      <c r="H121" s="424" t="s">
        <v>17</v>
      </c>
      <c r="I121" s="421">
        <f>ROUND($G121*C121/100,0)</f>
        <v>77582674</v>
      </c>
      <c r="K121" s="421">
        <f>ROUND($G121*E121/100,0)</f>
        <v>83891554</v>
      </c>
      <c r="M121" s="128">
        <f>ROUND(G121*(1+$V$125),4)</f>
        <v>3.5438999999999998</v>
      </c>
      <c r="N121" s="48" t="s">
        <v>17</v>
      </c>
      <c r="O121" s="28">
        <f>ROUND(M121*$E121/100,0)</f>
        <v>93178073</v>
      </c>
      <c r="Q121" s="137">
        <f t="shared" ref="Q121:Q122" si="35">$W$123</f>
        <v>-2.7799999999999998E-2</v>
      </c>
      <c r="R121" s="48"/>
      <c r="S121" s="28">
        <f t="shared" ref="S121:S122" si="36">O121*Q121*254/365</f>
        <v>-1802600.0248427393</v>
      </c>
      <c r="T121" s="79"/>
      <c r="U121" s="64" t="s">
        <v>24</v>
      </c>
      <c r="V121" s="65">
        <f>V120-V119</f>
        <v>1484.1377489566803</v>
      </c>
      <c r="W121" s="65">
        <f>W120-W119</f>
        <v>4135.4725016932935</v>
      </c>
      <c r="X121" s="45">
        <f t="shared" ref="X121:X123" si="37">M121/G121-1</f>
        <v>0.11069671232018052</v>
      </c>
      <c r="Y121" s="28"/>
      <c r="Z121"/>
    </row>
    <row r="122" spans="1:26">
      <c r="A122" s="40" t="s">
        <v>78</v>
      </c>
      <c r="C122" s="407">
        <f t="shared" si="31"/>
        <v>3015224785.1694274</v>
      </c>
      <c r="E122" s="407">
        <f t="shared" si="32"/>
        <v>3261389981.778914</v>
      </c>
      <c r="G122" s="444">
        <v>2.9416000000000002</v>
      </c>
      <c r="H122" s="424" t="s">
        <v>17</v>
      </c>
      <c r="I122" s="421">
        <f>ROUND($G122*C122/100,0)</f>
        <v>88695852</v>
      </c>
      <c r="K122" s="421">
        <f>ROUND($G122*E122/100,0)</f>
        <v>95937048</v>
      </c>
      <c r="M122" s="138">
        <f>ROUND((V120-SUM(O102:O107,O109,O116:O121,O123,O172:O177,O179,O186:O191,O193,O200:O207))/(E108+E122+E178+E192)*100,4)+V628</f>
        <v>3.2658999999999998</v>
      </c>
      <c r="N122" s="48" t="s">
        <v>17</v>
      </c>
      <c r="O122" s="28">
        <f>ROUND(M122*$E122/100,0)</f>
        <v>106513735</v>
      </c>
      <c r="Q122" s="137">
        <f t="shared" si="35"/>
        <v>-2.7799999999999998E-2</v>
      </c>
      <c r="R122" s="48"/>
      <c r="S122" s="28">
        <f t="shared" si="36"/>
        <v>-2060588.4536493148</v>
      </c>
      <c r="T122" s="79"/>
      <c r="U122" s="69" t="s">
        <v>26</v>
      </c>
      <c r="V122" s="139">
        <f>V119/(K111+K125+K181+K195+K209)-1</f>
        <v>0.11068699895496459</v>
      </c>
      <c r="W122" s="39"/>
      <c r="X122" s="45">
        <f t="shared" si="37"/>
        <v>0.11024612455806349</v>
      </c>
      <c r="Z122"/>
    </row>
    <row r="123" spans="1:26">
      <c r="A123" s="40" t="s">
        <v>69</v>
      </c>
      <c r="C123" s="407">
        <f t="shared" si="31"/>
        <v>0</v>
      </c>
      <c r="E123" s="407">
        <f t="shared" si="32"/>
        <v>0</v>
      </c>
      <c r="G123" s="237">
        <v>540</v>
      </c>
      <c r="H123" s="420"/>
      <c r="I123" s="421">
        <f>ROUND($G123*C123,0)</f>
        <v>0</v>
      </c>
      <c r="K123" s="421">
        <f>ROUND($G123*E123,0)</f>
        <v>0</v>
      </c>
      <c r="M123" s="41">
        <f>M116*12</f>
        <v>600</v>
      </c>
      <c r="N123" s="100"/>
      <c r="O123" s="28">
        <f>ROUND(M123*$E123,0)</f>
        <v>0</v>
      </c>
      <c r="Q123" s="83"/>
      <c r="R123" s="100"/>
      <c r="S123" s="28"/>
      <c r="T123" s="79"/>
      <c r="U123" s="74" t="s">
        <v>28</v>
      </c>
      <c r="V123" s="140">
        <f>V120/(K111+K125+K181+K195+K209)-1</f>
        <v>0.11069036403712085</v>
      </c>
      <c r="W123" s="49">
        <f>ROUND(W120/SUM(O103:O104,O107:O108,O117:O118,O121:O122,O173:O174,O177:O178,O187:O188,O191:O192)*365/254,4)+W129</f>
        <v>-2.7799999999999998E-2</v>
      </c>
      <c r="X123" s="45">
        <f t="shared" si="37"/>
        <v>0.11111111111111116</v>
      </c>
      <c r="Y123"/>
      <c r="Z123"/>
    </row>
    <row r="124" spans="1:26">
      <c r="A124" s="40" t="s">
        <v>41</v>
      </c>
      <c r="C124" s="428">
        <f t="shared" si="31"/>
        <v>16322705</v>
      </c>
      <c r="E124" s="428">
        <f t="shared" si="32"/>
        <v>0</v>
      </c>
      <c r="I124" s="429">
        <f>I138+I152+I166</f>
        <v>1689419</v>
      </c>
      <c r="K124" s="429">
        <v>0</v>
      </c>
      <c r="M124" s="15"/>
      <c r="O124" s="90">
        <v>0</v>
      </c>
      <c r="Q124" s="141"/>
      <c r="S124" s="90"/>
      <c r="U124" s="69" t="s">
        <v>32</v>
      </c>
      <c r="V124" s="70">
        <f>M116/G116-1</f>
        <v>0.11111111111111116</v>
      </c>
      <c r="W124" s="142" t="s">
        <v>79</v>
      </c>
    </row>
    <row r="125" spans="1:26" ht="16.5" thickBot="1">
      <c r="A125" s="40" t="s">
        <v>43</v>
      </c>
      <c r="C125" s="441">
        <f t="shared" si="31"/>
        <v>5463072666.592536</v>
      </c>
      <c r="E125" s="441">
        <f t="shared" si="32"/>
        <v>5890642305.7789135</v>
      </c>
      <c r="G125" s="439"/>
      <c r="I125" s="440">
        <f>SUM(I116:I124)</f>
        <v>384665181</v>
      </c>
      <c r="K125" s="440">
        <f>SUM(K116:K124)</f>
        <v>413066396</v>
      </c>
      <c r="M125" s="113"/>
      <c r="O125" s="114">
        <f>SUM(O116:O124)</f>
        <v>458788992</v>
      </c>
      <c r="Q125" s="143"/>
      <c r="S125" s="114">
        <f>SUM(S116:S124)</f>
        <v>-8732096.6698213685</v>
      </c>
      <c r="U125" s="74" t="s">
        <v>80</v>
      </c>
      <c r="V125" s="140">
        <f>(V120-O102-O109-O116-O123-O172-O179-O186-O193-O200)/SUM(K103:K108,K117:K122,K173:K178,K187:K192,K201:K207)-1</f>
        <v>0.11068233417762396</v>
      </c>
      <c r="W125" s="144">
        <f>'Table A(GRC+REC)'!W52</f>
        <v>-33605.646299312328</v>
      </c>
    </row>
    <row r="126" spans="1:26" ht="16.5" thickTop="1">
      <c r="A126" s="40" t="s">
        <v>45</v>
      </c>
      <c r="C126" s="407"/>
      <c r="E126" s="407"/>
      <c r="G126" s="433"/>
      <c r="H126" s="434"/>
      <c r="I126" s="429">
        <v>18544517.8191</v>
      </c>
      <c r="K126" s="429">
        <f>I126</f>
        <v>18544517.8191</v>
      </c>
      <c r="M126" s="36"/>
      <c r="N126" s="99"/>
      <c r="O126" s="89">
        <v>0</v>
      </c>
      <c r="Q126" s="36"/>
      <c r="R126" s="99"/>
      <c r="S126" s="89"/>
      <c r="T126" s="28"/>
      <c r="U126" s="145" t="s">
        <v>48</v>
      </c>
      <c r="V126" s="146">
        <f>(O125+O126)/(K125+K126)-1</f>
        <v>6.2968931764063374E-2</v>
      </c>
      <c r="W126" s="142" t="s">
        <v>81</v>
      </c>
    </row>
    <row r="127" spans="1:26">
      <c r="A127" s="40" t="s">
        <v>46</v>
      </c>
      <c r="C127" s="407"/>
      <c r="E127" s="407"/>
      <c r="G127" s="433">
        <f>M127</f>
        <v>3.7600000000000001E-2</v>
      </c>
      <c r="H127" s="434"/>
      <c r="I127" s="429">
        <f>ROUND(SUM(I117:I122,I126)*$G127,0)</f>
        <v>14841842</v>
      </c>
      <c r="K127" s="429">
        <f>ROUND(SUM(K117:K122,K126)*$G127,0)</f>
        <v>15961581</v>
      </c>
      <c r="M127" s="98">
        <v>3.7600000000000001E-2</v>
      </c>
      <c r="N127" s="99"/>
      <c r="O127" s="89">
        <f>ROUND(SUM(O117:O122,O126)*M127,0)</f>
        <v>16953811</v>
      </c>
      <c r="Q127" s="98"/>
      <c r="R127" s="99"/>
      <c r="S127" s="89"/>
      <c r="T127" s="28"/>
      <c r="W127" s="144">
        <f>Stipulation!H25</f>
        <v>-33600.000000000007</v>
      </c>
    </row>
    <row r="128" spans="1:26">
      <c r="C128" s="407"/>
      <c r="E128" s="407"/>
      <c r="T128" s="28"/>
      <c r="W128" s="147" t="s">
        <v>44</v>
      </c>
    </row>
    <row r="129" spans="1:26">
      <c r="A129" s="37" t="s">
        <v>82</v>
      </c>
      <c r="C129" s="407"/>
      <c r="E129" s="407"/>
      <c r="T129" s="28"/>
      <c r="W129" s="148">
        <v>0</v>
      </c>
    </row>
    <row r="130" spans="1:26">
      <c r="A130" s="40" t="s">
        <v>13</v>
      </c>
      <c r="C130" s="407">
        <v>136081.94469629452</v>
      </c>
      <c r="E130" s="407">
        <v>143779</v>
      </c>
      <c r="G130" s="445">
        <v>45</v>
      </c>
      <c r="H130" s="426"/>
      <c r="I130" s="421">
        <f>ROUND($G130*C130,0)</f>
        <v>6123688</v>
      </c>
      <c r="K130" s="421">
        <f>ROUND($G130*E130,0)</f>
        <v>6470055</v>
      </c>
      <c r="M130" s="133">
        <f>M116</f>
        <v>50</v>
      </c>
      <c r="N130" s="132"/>
      <c r="O130" s="28">
        <f>ROUND(M130*$E130,0)</f>
        <v>7188950</v>
      </c>
      <c r="Q130" s="130"/>
      <c r="R130" s="132"/>
      <c r="S130" s="28"/>
      <c r="T130" s="28"/>
      <c r="X130" s="45">
        <f t="shared" ref="X130:X133" si="38">M130/G130-1</f>
        <v>0.11111111111111116</v>
      </c>
    </row>
    <row r="131" spans="1:26">
      <c r="A131" s="40" t="s">
        <v>71</v>
      </c>
      <c r="C131" s="407">
        <v>6064923.1779749859</v>
      </c>
      <c r="E131" s="407">
        <f>ROUND(E$139*C131/C$139,0)</f>
        <v>6589408</v>
      </c>
      <c r="G131" s="445">
        <v>15.16</v>
      </c>
      <c r="H131" s="426"/>
      <c r="I131" s="421">
        <f>ROUND($G131*C131,0)</f>
        <v>91944235</v>
      </c>
      <c r="K131" s="421">
        <f>ROUND($G131*E131,0)</f>
        <v>99895425</v>
      </c>
      <c r="M131" s="133">
        <f>M117</f>
        <v>16.84</v>
      </c>
      <c r="N131" s="132"/>
      <c r="O131" s="28">
        <f>ROUND(M131*$E131,0)</f>
        <v>110965631</v>
      </c>
      <c r="Q131" s="137">
        <f>Q117</f>
        <v>-2.7799999999999998E-2</v>
      </c>
      <c r="R131" s="132"/>
      <c r="S131" s="28">
        <f t="shared" ref="S131:S132" si="39">O131*Q131*254/365</f>
        <v>-2146713.7359375339</v>
      </c>
      <c r="T131" s="28"/>
      <c r="X131" s="45">
        <f t="shared" si="38"/>
        <v>0.1108179419525066</v>
      </c>
    </row>
    <row r="132" spans="1:26">
      <c r="A132" s="40" t="s">
        <v>72</v>
      </c>
      <c r="C132" s="407">
        <v>7280298.1901584938</v>
      </c>
      <c r="E132" s="407">
        <f>ROUND(E$139*C132/C$139,0)</f>
        <v>7909887</v>
      </c>
      <c r="G132" s="445">
        <v>12.17</v>
      </c>
      <c r="H132" s="426"/>
      <c r="I132" s="421">
        <f>ROUND($G132*C132,0)</f>
        <v>88601229</v>
      </c>
      <c r="K132" s="421">
        <f>ROUND($G132*E132,0)</f>
        <v>96263325</v>
      </c>
      <c r="M132" s="133">
        <f>M118</f>
        <v>13.52</v>
      </c>
      <c r="N132" s="132"/>
      <c r="O132" s="28">
        <f>ROUND(M132*$E132,0)</f>
        <v>106941672</v>
      </c>
      <c r="Q132" s="137">
        <f>Q118</f>
        <v>-2.7799999999999998E-2</v>
      </c>
      <c r="R132" s="132"/>
      <c r="S132" s="28">
        <f t="shared" si="39"/>
        <v>-2068867.2173326025</v>
      </c>
      <c r="T132" s="28"/>
      <c r="X132" s="45">
        <f t="shared" si="38"/>
        <v>0.11092851273623672</v>
      </c>
    </row>
    <row r="133" spans="1:26">
      <c r="A133" s="40" t="s">
        <v>64</v>
      </c>
      <c r="C133" s="407">
        <v>304782.3101126863</v>
      </c>
      <c r="E133" s="407">
        <f>ROUND(E$139*C133/C$139,0)</f>
        <v>331139</v>
      </c>
      <c r="G133" s="445">
        <v>-0.78</v>
      </c>
      <c r="H133" s="426"/>
      <c r="I133" s="421">
        <f>ROUND($G133*C133,0)</f>
        <v>-237730</v>
      </c>
      <c r="K133" s="421">
        <f>ROUND($G133*E133,0)</f>
        <v>-258288</v>
      </c>
      <c r="M133" s="133">
        <f>M119</f>
        <v>-0.87</v>
      </c>
      <c r="N133" s="132"/>
      <c r="O133" s="28">
        <f>ROUND(M133*$E133,0)</f>
        <v>-288091</v>
      </c>
      <c r="Q133" s="130"/>
      <c r="R133" s="132"/>
      <c r="S133" s="28"/>
      <c r="T133" s="28"/>
      <c r="W133"/>
      <c r="X133" s="45">
        <f t="shared" si="38"/>
        <v>0.11538461538461542</v>
      </c>
    </row>
    <row r="134" spans="1:26">
      <c r="A134" s="40" t="s">
        <v>59</v>
      </c>
      <c r="C134" s="407">
        <f>SUM(C135:C136)</f>
        <v>4758324668.592536</v>
      </c>
      <c r="E134" s="407">
        <f>SUM(E135:E136)</f>
        <v>5184917925</v>
      </c>
      <c r="G134" s="444"/>
      <c r="H134" s="424"/>
      <c r="I134" s="421"/>
      <c r="K134" s="421"/>
      <c r="M134" s="129"/>
      <c r="N134" s="48"/>
      <c r="O134" s="28"/>
      <c r="Q134" s="130"/>
      <c r="R134" s="48"/>
      <c r="S134" s="28"/>
      <c r="T134" s="79"/>
    </row>
    <row r="135" spans="1:26">
      <c r="A135" s="40" t="s">
        <v>73</v>
      </c>
      <c r="C135" s="407">
        <v>2117454826.0779479</v>
      </c>
      <c r="E135" s="407">
        <f>ROUND(E$139*C135/(C$139-C$138),0)</f>
        <v>2307288856</v>
      </c>
      <c r="G135" s="444">
        <v>3.1907000000000001</v>
      </c>
      <c r="H135" s="424" t="s">
        <v>17</v>
      </c>
      <c r="I135" s="421">
        <f>ROUND($G135*C135/100,0)</f>
        <v>67561631</v>
      </c>
      <c r="K135" s="421">
        <f>ROUND($G135*E135/100,0)</f>
        <v>73618666</v>
      </c>
      <c r="M135" s="129">
        <f>M121</f>
        <v>3.5438999999999998</v>
      </c>
      <c r="N135" s="48" t="s">
        <v>17</v>
      </c>
      <c r="O135" s="28">
        <f>ROUND(M135*$E135/100,0)</f>
        <v>81768010</v>
      </c>
      <c r="Q135" s="137">
        <f>Q121</f>
        <v>-2.7799999999999998E-2</v>
      </c>
      <c r="R135" s="48"/>
      <c r="S135" s="28">
        <f t="shared" ref="S135:S136" si="40">O135*Q135*254/365</f>
        <v>-1581863.7594849316</v>
      </c>
      <c r="T135" s="79"/>
      <c r="X135" s="45">
        <f t="shared" ref="X135:X137" si="41">M135/G135-1</f>
        <v>0.11069671232018052</v>
      </c>
      <c r="Y135"/>
    </row>
    <row r="136" spans="1:26">
      <c r="A136" s="40" t="s">
        <v>74</v>
      </c>
      <c r="C136" s="407">
        <v>2640869842.5145884</v>
      </c>
      <c r="E136" s="407">
        <f>E139-E135</f>
        <v>2877629069</v>
      </c>
      <c r="G136" s="444">
        <v>2.9416000000000002</v>
      </c>
      <c r="H136" s="424" t="s">
        <v>17</v>
      </c>
      <c r="I136" s="421">
        <f>ROUND($G136*C136/100,0)</f>
        <v>77683827</v>
      </c>
      <c r="K136" s="421">
        <f>ROUND($G136*E136/100,0)</f>
        <v>84648337</v>
      </c>
      <c r="M136" s="129">
        <f>M122</f>
        <v>3.2658999999999998</v>
      </c>
      <c r="N136" s="48" t="s">
        <v>17</v>
      </c>
      <c r="O136" s="28">
        <f>ROUND(M136*$E136/100,0)</f>
        <v>93980488</v>
      </c>
      <c r="Q136" s="137">
        <f>Q122</f>
        <v>-2.7799999999999998E-2</v>
      </c>
      <c r="R136" s="48"/>
      <c r="S136" s="28">
        <f t="shared" si="40"/>
        <v>-1818123.3475769863</v>
      </c>
      <c r="T136" s="79"/>
      <c r="U136" s="101"/>
      <c r="X136" s="45">
        <f t="shared" si="41"/>
        <v>0.11024612455806349</v>
      </c>
    </row>
    <row r="137" spans="1:26">
      <c r="A137" s="40" t="s">
        <v>69</v>
      </c>
      <c r="C137" s="422">
        <v>0</v>
      </c>
      <c r="E137" s="407">
        <f>ROUND(C137*E130/C130,0)</f>
        <v>0</v>
      </c>
      <c r="G137" s="445">
        <v>540</v>
      </c>
      <c r="H137" s="426"/>
      <c r="I137" s="421">
        <f>ROUND($G137*C137,0)</f>
        <v>0</v>
      </c>
      <c r="K137" s="421">
        <f>ROUND($G137*E137,0)</f>
        <v>0</v>
      </c>
      <c r="M137" s="133">
        <f>M123</f>
        <v>600</v>
      </c>
      <c r="N137" s="132"/>
      <c r="O137" s="28">
        <f>ROUND(M137*$E137,0)</f>
        <v>0</v>
      </c>
      <c r="Q137" s="130"/>
      <c r="R137" s="132"/>
      <c r="S137" s="28"/>
      <c r="T137" s="79"/>
      <c r="X137" s="45">
        <f t="shared" si="41"/>
        <v>0.11111111111111116</v>
      </c>
      <c r="Z137"/>
    </row>
    <row r="138" spans="1:26">
      <c r="A138" s="40" t="s">
        <v>41</v>
      </c>
      <c r="C138" s="428">
        <v>13898923</v>
      </c>
      <c r="E138" s="428">
        <v>0</v>
      </c>
      <c r="I138" s="429">
        <v>1577620</v>
      </c>
      <c r="K138" s="429">
        <v>0</v>
      </c>
      <c r="O138" s="90">
        <v>0</v>
      </c>
      <c r="S138" s="90"/>
    </row>
    <row r="139" spans="1:26" ht="16.5" thickBot="1">
      <c r="A139" s="40" t="s">
        <v>43</v>
      </c>
      <c r="C139" s="441">
        <f>SUM(C135:C136,C138)</f>
        <v>4772223591.592536</v>
      </c>
      <c r="E139" s="441">
        <v>5184917925</v>
      </c>
      <c r="G139" s="439"/>
      <c r="I139" s="440">
        <f>SUM(I130:I138)</f>
        <v>333254500</v>
      </c>
      <c r="K139" s="440">
        <f>SUM(K130:K138)</f>
        <v>360637520</v>
      </c>
      <c r="M139" s="115"/>
      <c r="O139" s="114">
        <f>SUM(O130:O138)</f>
        <v>400556660</v>
      </c>
      <c r="Q139" s="116"/>
      <c r="S139" s="114">
        <f>SUM(S130:S138)</f>
        <v>-7615568.0603320543</v>
      </c>
      <c r="U139" s="27" t="s">
        <v>26</v>
      </c>
      <c r="V139" s="108">
        <f>O139/K139-1</f>
        <v>0.11069047945981891</v>
      </c>
    </row>
    <row r="140" spans="1:26" ht="16.5" thickTop="1">
      <c r="A140" s="40" t="s">
        <v>45</v>
      </c>
      <c r="C140" s="407"/>
      <c r="E140" s="407"/>
      <c r="G140" s="433"/>
      <c r="H140" s="434"/>
      <c r="I140" s="429">
        <f>ROUND($I$126*I139/$I$125,0)</f>
        <v>16066034</v>
      </c>
      <c r="K140" s="429">
        <f>I140</f>
        <v>16066034</v>
      </c>
      <c r="M140" s="36"/>
      <c r="N140" s="99"/>
      <c r="O140" s="89">
        <v>0</v>
      </c>
      <c r="Q140" s="36"/>
      <c r="R140" s="99"/>
      <c r="S140" s="89"/>
      <c r="T140" s="28"/>
      <c r="U140" s="15" t="s">
        <v>48</v>
      </c>
      <c r="V140" s="123">
        <f>(O139+O140)/(K139+K140)-1</f>
        <v>6.3320629037654452E-2</v>
      </c>
    </row>
    <row r="141" spans="1:26">
      <c r="A141" s="40" t="s">
        <v>46</v>
      </c>
      <c r="C141" s="407"/>
      <c r="E141" s="407"/>
      <c r="G141" s="433">
        <f>M141</f>
        <v>3.7600000000000001E-2</v>
      </c>
      <c r="H141" s="434"/>
      <c r="I141" s="429">
        <f>ROUND(SUM(I131:I136,I140)*$G141,0)</f>
        <v>12844883</v>
      </c>
      <c r="K141" s="429">
        <f>ROUND(SUM(K131:K136,K140)*$G141,0)</f>
        <v>13920780</v>
      </c>
      <c r="M141" s="119">
        <f>M127</f>
        <v>3.7600000000000001E-2</v>
      </c>
      <c r="N141" s="118"/>
      <c r="O141" s="89">
        <f>ROUND(SUM(O131:O136,O140)*M141,0)</f>
        <v>14790626</v>
      </c>
      <c r="Q141" s="119"/>
      <c r="R141" s="118"/>
      <c r="S141" s="89"/>
      <c r="T141" s="28"/>
      <c r="V141"/>
    </row>
    <row r="142" spans="1:26">
      <c r="T142" s="28"/>
    </row>
    <row r="143" spans="1:26">
      <c r="A143" s="37" t="s">
        <v>83</v>
      </c>
      <c r="C143" s="407"/>
      <c r="E143" s="407"/>
      <c r="T143" s="28"/>
    </row>
    <row r="144" spans="1:26">
      <c r="A144" s="40" t="s">
        <v>13</v>
      </c>
      <c r="C144" s="407">
        <v>14768.851511111212</v>
      </c>
      <c r="E144" s="407">
        <v>13968</v>
      </c>
      <c r="G144" s="445">
        <v>45</v>
      </c>
      <c r="H144" s="426"/>
      <c r="I144" s="421">
        <f>ROUND($G144*C144,0)</f>
        <v>664598</v>
      </c>
      <c r="K144" s="421">
        <f>ROUND($G144*E144,0)</f>
        <v>628560</v>
      </c>
      <c r="M144" s="133">
        <f>M116</f>
        <v>50</v>
      </c>
      <c r="N144" s="132"/>
      <c r="O144" s="28">
        <f>ROUND(M144*$E144,0)</f>
        <v>698400</v>
      </c>
      <c r="Q144" s="130"/>
      <c r="R144" s="132"/>
      <c r="S144" s="28"/>
      <c r="T144" s="28"/>
      <c r="X144" s="45">
        <f t="shared" ref="X144:X147" si="42">M144/G144-1</f>
        <v>0.11111111111111116</v>
      </c>
    </row>
    <row r="145" spans="1:26">
      <c r="A145" s="40" t="s">
        <v>71</v>
      </c>
      <c r="C145" s="407">
        <v>990022.24969276774</v>
      </c>
      <c r="E145" s="407">
        <f>ROUND(C145/C$153*E$153,0)</f>
        <v>1011385</v>
      </c>
      <c r="G145" s="445">
        <v>15.16</v>
      </c>
      <c r="H145" s="426"/>
      <c r="I145" s="421">
        <f>ROUND($G145*C145,0)</f>
        <v>15008737</v>
      </c>
      <c r="K145" s="421">
        <f>ROUND($G145*E145,0)</f>
        <v>15332597</v>
      </c>
      <c r="M145" s="133">
        <f>M117</f>
        <v>16.84</v>
      </c>
      <c r="N145" s="132"/>
      <c r="O145" s="28">
        <f>ROUND(M145*$E145,0)</f>
        <v>17031723</v>
      </c>
      <c r="Q145" s="130">
        <f>Q117</f>
        <v>-2.7799999999999998E-2</v>
      </c>
      <c r="R145" s="132"/>
      <c r="S145" s="28">
        <f t="shared" ref="S145:S146" si="43">O145*Q145*254/365</f>
        <v>-329491.51355506846</v>
      </c>
      <c r="T145" s="28"/>
      <c r="X145" s="45">
        <f t="shared" si="42"/>
        <v>0.1108179419525066</v>
      </c>
    </row>
    <row r="146" spans="1:26">
      <c r="A146" s="40" t="s">
        <v>72</v>
      </c>
      <c r="C146" s="407">
        <v>1204852.6989157663</v>
      </c>
      <c r="E146" s="407">
        <f>ROUND(C146/C$153*E$153,0)</f>
        <v>1230851</v>
      </c>
      <c r="G146" s="445">
        <v>12.17</v>
      </c>
      <c r="H146" s="426"/>
      <c r="I146" s="421">
        <f>ROUND($G146*C146,0)</f>
        <v>14663057</v>
      </c>
      <c r="K146" s="421">
        <f>ROUND($G146*E146,0)</f>
        <v>14979457</v>
      </c>
      <c r="M146" s="133">
        <f>M118</f>
        <v>13.52</v>
      </c>
      <c r="N146" s="132"/>
      <c r="O146" s="28">
        <f>ROUND(M146*$E146,0)</f>
        <v>16641106</v>
      </c>
      <c r="Q146" s="130">
        <f>Q118</f>
        <v>-2.7799999999999998E-2</v>
      </c>
      <c r="R146" s="132"/>
      <c r="S146" s="28">
        <f t="shared" si="43"/>
        <v>-321934.733389589</v>
      </c>
      <c r="T146" s="28"/>
      <c r="X146" s="45">
        <f t="shared" si="42"/>
        <v>0.11092851273623672</v>
      </c>
    </row>
    <row r="147" spans="1:26">
      <c r="A147" s="40" t="s">
        <v>64</v>
      </c>
      <c r="C147" s="407">
        <v>205756.969143133</v>
      </c>
      <c r="E147" s="407">
        <f>ROUND(C147/C$153*E$153,0)</f>
        <v>210197</v>
      </c>
      <c r="G147" s="445">
        <v>-0.78</v>
      </c>
      <c r="H147" s="426"/>
      <c r="I147" s="421">
        <f>ROUND($G147*C147,0)</f>
        <v>-160490</v>
      </c>
      <c r="K147" s="421">
        <f>ROUND($G147*E147,0)</f>
        <v>-163954</v>
      </c>
      <c r="M147" s="133">
        <f>M119</f>
        <v>-0.87</v>
      </c>
      <c r="N147" s="132"/>
      <c r="O147" s="28">
        <f>ROUND(M147*$E147,0)</f>
        <v>-182871</v>
      </c>
      <c r="Q147" s="130"/>
      <c r="R147" s="132"/>
      <c r="S147" s="28"/>
      <c r="T147" s="79"/>
      <c r="W147"/>
      <c r="X147" s="45">
        <f t="shared" si="42"/>
        <v>0.11538461538461542</v>
      </c>
    </row>
    <row r="148" spans="1:26">
      <c r="A148" s="40" t="s">
        <v>59</v>
      </c>
      <c r="C148" s="407">
        <f>SUM(C149:C150)</f>
        <v>686093213</v>
      </c>
      <c r="E148" s="407">
        <f>E153</f>
        <v>703378899.54225004</v>
      </c>
      <c r="G148" s="444"/>
      <c r="H148" s="424"/>
      <c r="I148" s="421"/>
      <c r="K148" s="421"/>
      <c r="M148" s="129"/>
      <c r="N148" s="48"/>
      <c r="O148" s="28"/>
      <c r="Q148" s="130"/>
      <c r="R148" s="48"/>
      <c r="S148" s="28"/>
      <c r="T148" s="79"/>
    </row>
    <row r="149" spans="1:26">
      <c r="A149" s="40" t="s">
        <v>73</v>
      </c>
      <c r="C149" s="407">
        <v>313058037.05415273</v>
      </c>
      <c r="E149" s="407">
        <f>ROUND(C149/(C$153-C$152)*E$153,0)</f>
        <v>320945337</v>
      </c>
      <c r="G149" s="444">
        <v>3.1907000000000001</v>
      </c>
      <c r="H149" s="424" t="s">
        <v>17</v>
      </c>
      <c r="I149" s="421">
        <f>ROUND($G149*C149/100,0)</f>
        <v>9988743</v>
      </c>
      <c r="K149" s="421">
        <f>ROUND($G149*E149/100,0)</f>
        <v>10240403</v>
      </c>
      <c r="M149" s="129">
        <f>M121</f>
        <v>3.5438999999999998</v>
      </c>
      <c r="N149" s="48" t="s">
        <v>17</v>
      </c>
      <c r="O149" s="28">
        <f>ROUND(M149*$E149/100,0)</f>
        <v>11373982</v>
      </c>
      <c r="Q149" s="130">
        <f>Q121</f>
        <v>-2.7799999999999998E-2</v>
      </c>
      <c r="R149" s="48"/>
      <c r="S149" s="28">
        <f t="shared" ref="S149:S150" si="44">O149*Q149*254/365</f>
        <v>-220038.25122849311</v>
      </c>
      <c r="T149" s="79"/>
      <c r="V149" s="135"/>
      <c r="X149" s="45">
        <f t="shared" ref="X149:X151" si="45">M149/G149-1</f>
        <v>0.11069671232018052</v>
      </c>
      <c r="Y149"/>
    </row>
    <row r="150" spans="1:26">
      <c r="A150" s="40" t="s">
        <v>74</v>
      </c>
      <c r="C150" s="407">
        <v>373035175.94584727</v>
      </c>
      <c r="E150" s="407">
        <f>E148-E149</f>
        <v>382433562.54225004</v>
      </c>
      <c r="G150" s="444">
        <v>2.9416000000000002</v>
      </c>
      <c r="H150" s="424" t="s">
        <v>17</v>
      </c>
      <c r="I150" s="421">
        <f>ROUND($G150*C150/100,0)</f>
        <v>10973203</v>
      </c>
      <c r="K150" s="421">
        <f>ROUND($G150*E150/100,0)</f>
        <v>11249666</v>
      </c>
      <c r="M150" s="129">
        <f>M122</f>
        <v>3.2658999999999998</v>
      </c>
      <c r="N150" s="48" t="s">
        <v>17</v>
      </c>
      <c r="O150" s="28">
        <f>ROUND(M150*$E150/100,0)</f>
        <v>12489898</v>
      </c>
      <c r="Q150" s="130">
        <f>Q122</f>
        <v>-2.7799999999999998E-2</v>
      </c>
      <c r="R150" s="48"/>
      <c r="S150" s="28">
        <f t="shared" si="44"/>
        <v>-241626.48700712327</v>
      </c>
      <c r="T150" s="79"/>
      <c r="V150" s="135"/>
      <c r="X150" s="45">
        <f t="shared" si="45"/>
        <v>0.11024612455806349</v>
      </c>
    </row>
    <row r="151" spans="1:26">
      <c r="A151" s="40" t="s">
        <v>69</v>
      </c>
      <c r="C151" s="422">
        <v>0</v>
      </c>
      <c r="E151" s="407">
        <f>ROUND(C151*E144/C144,0)</f>
        <v>0</v>
      </c>
      <c r="G151" s="445">
        <v>540</v>
      </c>
      <c r="H151" s="426"/>
      <c r="I151" s="421">
        <f>ROUND($G151*C151,0)</f>
        <v>0</v>
      </c>
      <c r="K151" s="421">
        <f>ROUND($G151*E151,0)</f>
        <v>0</v>
      </c>
      <c r="M151" s="133">
        <f>M137</f>
        <v>600</v>
      </c>
      <c r="N151" s="132"/>
      <c r="O151" s="28">
        <f>ROUND(M151*$E151,0)</f>
        <v>0</v>
      </c>
      <c r="Q151" s="130"/>
      <c r="R151" s="132"/>
      <c r="S151" s="28"/>
      <c r="T151" s="79"/>
      <c r="X151" s="45">
        <f t="shared" si="45"/>
        <v>0.11111111111111116</v>
      </c>
      <c r="Z151"/>
    </row>
    <row r="152" spans="1:26">
      <c r="A152" s="40" t="s">
        <v>41</v>
      </c>
      <c r="C152" s="428">
        <v>2429040</v>
      </c>
      <c r="E152" s="428">
        <v>0</v>
      </c>
      <c r="I152" s="429">
        <v>111261</v>
      </c>
      <c r="K152" s="429">
        <v>0</v>
      </c>
      <c r="O152" s="90">
        <v>0</v>
      </c>
      <c r="S152" s="90"/>
    </row>
    <row r="153" spans="1:26" ht="16.5" thickBot="1">
      <c r="A153" s="40" t="s">
        <v>43</v>
      </c>
      <c r="C153" s="441">
        <f>C148+C152</f>
        <v>688522253</v>
      </c>
      <c r="E153" s="441">
        <v>703378899.54225004</v>
      </c>
      <c r="G153" s="439"/>
      <c r="I153" s="440">
        <f>SUM(I144:I152)</f>
        <v>51249109</v>
      </c>
      <c r="K153" s="440">
        <f>SUM(K144:K152)</f>
        <v>52266729</v>
      </c>
      <c r="M153" s="115"/>
      <c r="O153" s="114">
        <f>SUM(O144:O152)</f>
        <v>58052238</v>
      </c>
      <c r="Q153" s="116"/>
      <c r="S153" s="114">
        <f>SUM(S144:S152)</f>
        <v>-1113090.9851802739</v>
      </c>
      <c r="U153" s="27" t="s">
        <v>26</v>
      </c>
      <c r="V153" s="108">
        <f>O153/K153-1</f>
        <v>0.11069200446808147</v>
      </c>
    </row>
    <row r="154" spans="1:26" ht="16.5" thickTop="1">
      <c r="A154" s="40" t="s">
        <v>45</v>
      </c>
      <c r="C154" s="407"/>
      <c r="E154" s="407"/>
      <c r="G154" s="433"/>
      <c r="H154" s="434"/>
      <c r="I154" s="429">
        <f>ROUND($I$126*I153/$I$125,0)</f>
        <v>2470694</v>
      </c>
      <c r="K154" s="429">
        <f>I154</f>
        <v>2470694</v>
      </c>
      <c r="M154" s="36"/>
      <c r="N154" s="99"/>
      <c r="O154" s="89">
        <v>0</v>
      </c>
      <c r="Q154" s="36"/>
      <c r="R154" s="99"/>
      <c r="S154" s="89"/>
      <c r="T154" s="28"/>
      <c r="U154" s="15" t="s">
        <v>48</v>
      </c>
      <c r="V154" s="123">
        <f>(O153+O154)/(K153+K154)-1</f>
        <v>6.0558477515465059E-2</v>
      </c>
    </row>
    <row r="155" spans="1:26">
      <c r="A155" s="40" t="s">
        <v>46</v>
      </c>
      <c r="C155" s="407"/>
      <c r="E155" s="407"/>
      <c r="G155" s="433">
        <f>M155</f>
        <v>3.7600000000000001E-2</v>
      </c>
      <c r="H155" s="434"/>
      <c r="I155" s="429">
        <f>ROUND(SUM(I145:I150,I154)*$G155,0)</f>
        <v>1990692</v>
      </c>
      <c r="K155" s="429">
        <f>ROUND(SUM(K145:K150,K154)*$G155,0)</f>
        <v>2034493</v>
      </c>
      <c r="M155" s="119">
        <f>M127</f>
        <v>3.7600000000000001E-2</v>
      </c>
      <c r="N155" s="118"/>
      <c r="O155" s="89">
        <f>ROUND(SUM(O145:O150,O154)*M155,0)</f>
        <v>2156504</v>
      </c>
      <c r="Q155" s="119"/>
      <c r="R155" s="118"/>
      <c r="S155" s="89"/>
      <c r="T155" s="28"/>
      <c r="V155"/>
    </row>
    <row r="156" spans="1:26">
      <c r="C156" s="407"/>
      <c r="E156" s="407"/>
      <c r="T156" s="28"/>
    </row>
    <row r="157" spans="1:26">
      <c r="A157" s="37" t="s">
        <v>84</v>
      </c>
      <c r="C157" s="407"/>
      <c r="E157" s="407"/>
      <c r="T157" s="28"/>
    </row>
    <row r="158" spans="1:26">
      <c r="A158" s="40" t="s">
        <v>13</v>
      </c>
      <c r="C158" s="407">
        <v>48.000148148148099</v>
      </c>
      <c r="E158" s="407">
        <v>48</v>
      </c>
      <c r="G158" s="445">
        <v>45</v>
      </c>
      <c r="H158" s="426"/>
      <c r="I158" s="421">
        <f>ROUND($G158*C158,0)</f>
        <v>2160</v>
      </c>
      <c r="K158" s="421">
        <f>ROUND($G158*E158,0)</f>
        <v>2160</v>
      </c>
      <c r="M158" s="133">
        <f>M116</f>
        <v>50</v>
      </c>
      <c r="N158" s="132"/>
      <c r="O158" s="28">
        <f>ROUND(M158*$E158,0)</f>
        <v>2400</v>
      </c>
      <c r="Q158" s="130"/>
      <c r="R158" s="132"/>
      <c r="S158" s="28"/>
      <c r="T158" s="28"/>
      <c r="X158" s="45">
        <f t="shared" ref="X158:X161" si="46">M158/G158-1</f>
        <v>0.11111111111111116</v>
      </c>
    </row>
    <row r="159" spans="1:26">
      <c r="A159" s="40" t="s">
        <v>71</v>
      </c>
      <c r="C159" s="407">
        <v>2949.0349388997402</v>
      </c>
      <c r="E159" s="407">
        <f>ROUND(C159/C$167*E$167,0)</f>
        <v>2973</v>
      </c>
      <c r="G159" s="445">
        <v>15.16</v>
      </c>
      <c r="H159" s="426"/>
      <c r="I159" s="421">
        <f>ROUND($G159*C159,0)</f>
        <v>44707</v>
      </c>
      <c r="K159" s="421">
        <f>ROUND($G159*E159,0)</f>
        <v>45071</v>
      </c>
      <c r="M159" s="133">
        <f>M117</f>
        <v>16.84</v>
      </c>
      <c r="N159" s="132"/>
      <c r="O159" s="28">
        <f>ROUND(M159*$E159,0)</f>
        <v>50065</v>
      </c>
      <c r="Q159" s="130">
        <f>Q117</f>
        <v>-2.7799999999999998E-2</v>
      </c>
      <c r="R159" s="132"/>
      <c r="S159" s="28">
        <f t="shared" ref="S159:S160" si="47">O159*Q159*254/365</f>
        <v>-968.54514520547946</v>
      </c>
      <c r="T159" s="28"/>
      <c r="X159" s="45">
        <f t="shared" si="46"/>
        <v>0.1108179419525066</v>
      </c>
    </row>
    <row r="160" spans="1:26">
      <c r="A160" s="40" t="s">
        <v>72</v>
      </c>
      <c r="C160" s="407">
        <v>3536.9658048373599</v>
      </c>
      <c r="E160" s="407">
        <f>ROUND(C160/C$167*E$167,0)</f>
        <v>3565</v>
      </c>
      <c r="G160" s="445">
        <v>12.17</v>
      </c>
      <c r="H160" s="426"/>
      <c r="I160" s="421">
        <f>ROUND($G160*C160,0)</f>
        <v>43045</v>
      </c>
      <c r="K160" s="421">
        <f>ROUND($G160*E160,0)</f>
        <v>43386</v>
      </c>
      <c r="M160" s="133">
        <f>M118</f>
        <v>13.52</v>
      </c>
      <c r="N160" s="132"/>
      <c r="O160" s="28">
        <f>ROUND(M160*$E160,0)</f>
        <v>48199</v>
      </c>
      <c r="Q160" s="130">
        <f>Q118</f>
        <v>-2.7799999999999998E-2</v>
      </c>
      <c r="R160" s="132"/>
      <c r="S160" s="28">
        <f t="shared" si="47"/>
        <v>-932.4459693150684</v>
      </c>
      <c r="T160" s="28"/>
      <c r="X160" s="45">
        <f t="shared" si="46"/>
        <v>0.11092851273623672</v>
      </c>
    </row>
    <row r="161" spans="1:26">
      <c r="A161" s="40" t="s">
        <v>64</v>
      </c>
      <c r="C161" s="407">
        <v>0</v>
      </c>
      <c r="E161" s="407">
        <f>ROUND(C161/C$167*E$167,0)</f>
        <v>0</v>
      </c>
      <c r="G161" s="445">
        <v>-0.78</v>
      </c>
      <c r="H161" s="426"/>
      <c r="I161" s="421">
        <f>ROUND($G161*C161,0)</f>
        <v>0</v>
      </c>
      <c r="K161" s="421">
        <f>ROUND($G161*E161,0)</f>
        <v>0</v>
      </c>
      <c r="M161" s="133">
        <f>M119</f>
        <v>-0.87</v>
      </c>
      <c r="N161" s="132"/>
      <c r="O161" s="28">
        <f>ROUND(M161*$E161,0)</f>
        <v>0</v>
      </c>
      <c r="Q161" s="130"/>
      <c r="R161" s="132"/>
      <c r="S161" s="28"/>
      <c r="T161" s="79"/>
      <c r="W161"/>
      <c r="X161" s="45">
        <f t="shared" si="46"/>
        <v>0.11538461538461542</v>
      </c>
    </row>
    <row r="162" spans="1:26">
      <c r="A162" s="40" t="s">
        <v>59</v>
      </c>
      <c r="C162" s="407">
        <f>SUM(C163:C164)</f>
        <v>2332080</v>
      </c>
      <c r="E162" s="407">
        <f>E167</f>
        <v>2345481.2366637802</v>
      </c>
      <c r="G162" s="444"/>
      <c r="H162" s="424"/>
      <c r="I162" s="421"/>
      <c r="K162" s="421"/>
      <c r="M162" s="129"/>
      <c r="N162" s="48"/>
      <c r="O162" s="28"/>
      <c r="Q162" s="130"/>
      <c r="R162" s="48"/>
      <c r="S162" s="28"/>
      <c r="T162" s="79"/>
    </row>
    <row r="163" spans="1:26">
      <c r="A163" s="40" t="s">
        <v>73</v>
      </c>
      <c r="C163" s="407">
        <v>1012313.2910085</v>
      </c>
      <c r="E163" s="407">
        <f>ROUND(C163/(C$167-C$166)*E$167,0)</f>
        <v>1018131</v>
      </c>
      <c r="G163" s="444">
        <v>3.1907000000000001</v>
      </c>
      <c r="H163" s="424" t="s">
        <v>17</v>
      </c>
      <c r="I163" s="421">
        <f>ROUND($G163*C163/100,0)</f>
        <v>32300</v>
      </c>
      <c r="K163" s="421">
        <f>ROUND($G163*E163/100,0)</f>
        <v>32486</v>
      </c>
      <c r="M163" s="129">
        <f>M121</f>
        <v>3.5438999999999998</v>
      </c>
      <c r="N163" s="48" t="s">
        <v>17</v>
      </c>
      <c r="O163" s="28">
        <f>ROUND(M163*$E163/100,0)</f>
        <v>36082</v>
      </c>
      <c r="Q163" s="130">
        <f>Q121</f>
        <v>-2.7799999999999998E-2</v>
      </c>
      <c r="R163" s="48"/>
      <c r="S163" s="28">
        <f t="shared" ref="S163:S164" si="48">O163*Q163*254/365</f>
        <v>-698.03347506849309</v>
      </c>
      <c r="T163" s="79"/>
      <c r="V163" s="135"/>
      <c r="X163" s="45">
        <f t="shared" ref="X163:X165" si="49">M163/G163-1</f>
        <v>0.11069671232018052</v>
      </c>
      <c r="Y163"/>
    </row>
    <row r="164" spans="1:26">
      <c r="A164" s="40" t="s">
        <v>74</v>
      </c>
      <c r="C164" s="407">
        <v>1319766.7089915001</v>
      </c>
      <c r="E164" s="407">
        <f>E162-E163</f>
        <v>1327350.2366637802</v>
      </c>
      <c r="G164" s="444">
        <v>2.9416000000000002</v>
      </c>
      <c r="H164" s="424" t="s">
        <v>17</v>
      </c>
      <c r="I164" s="421">
        <f>ROUND($G164*C164/100,0)</f>
        <v>38822</v>
      </c>
      <c r="K164" s="421">
        <f>ROUND($G164*E164/100,0)</f>
        <v>39045</v>
      </c>
      <c r="M164" s="129">
        <f>M122</f>
        <v>3.2658999999999998</v>
      </c>
      <c r="N164" s="48" t="s">
        <v>17</v>
      </c>
      <c r="O164" s="28">
        <f>ROUND(M164*$E164/100,0)</f>
        <v>43350</v>
      </c>
      <c r="Q164" s="130">
        <f>Q122</f>
        <v>-2.7799999999999998E-2</v>
      </c>
      <c r="R164" s="48"/>
      <c r="S164" s="28">
        <f t="shared" si="48"/>
        <v>-838.63841095890405</v>
      </c>
      <c r="T164" s="79"/>
      <c r="V164" s="135"/>
      <c r="W164" s="117"/>
      <c r="X164" s="45">
        <f t="shared" si="49"/>
        <v>0.11024612455806349</v>
      </c>
    </row>
    <row r="165" spans="1:26">
      <c r="A165" s="40" t="s">
        <v>69</v>
      </c>
      <c r="C165" s="422">
        <v>0</v>
      </c>
      <c r="E165" s="407">
        <f>ROUND(C165*E158/C158,0)</f>
        <v>0</v>
      </c>
      <c r="G165" s="445">
        <v>540</v>
      </c>
      <c r="H165" s="426"/>
      <c r="I165" s="421">
        <f>ROUND($G165*C165,0)</f>
        <v>0</v>
      </c>
      <c r="K165" s="421">
        <f>ROUND($G165*E165,0)</f>
        <v>0</v>
      </c>
      <c r="M165" s="133">
        <f>M137</f>
        <v>600</v>
      </c>
      <c r="N165" s="132"/>
      <c r="O165" s="28">
        <f>ROUND(M165*$E165,0)</f>
        <v>0</v>
      </c>
      <c r="Q165" s="130"/>
      <c r="R165" s="132"/>
      <c r="S165" s="28"/>
      <c r="T165" s="79"/>
      <c r="W165" s="117"/>
      <c r="X165" s="45">
        <f t="shared" si="49"/>
        <v>0.11111111111111116</v>
      </c>
      <c r="Z165"/>
    </row>
    <row r="166" spans="1:26">
      <c r="A166" s="40" t="s">
        <v>41</v>
      </c>
      <c r="C166" s="428">
        <v>-5258</v>
      </c>
      <c r="E166" s="428">
        <v>0</v>
      </c>
      <c r="I166" s="429">
        <v>538</v>
      </c>
      <c r="K166" s="429">
        <v>0</v>
      </c>
      <c r="O166" s="90">
        <v>0</v>
      </c>
      <c r="S166" s="90"/>
      <c r="W166" s="117"/>
      <c r="X166" s="117"/>
      <c r="Y166" s="28"/>
    </row>
    <row r="167" spans="1:26" ht="16.5" thickBot="1">
      <c r="A167" s="40" t="s">
        <v>43</v>
      </c>
      <c r="C167" s="441">
        <f>C162+C166</f>
        <v>2326822</v>
      </c>
      <c r="E167" s="441">
        <v>2345481.2366637802</v>
      </c>
      <c r="G167" s="439"/>
      <c r="I167" s="440">
        <f>SUM(I158:I166)</f>
        <v>161572</v>
      </c>
      <c r="K167" s="440">
        <f>SUM(K158:K166)</f>
        <v>162148</v>
      </c>
      <c r="M167" s="115"/>
      <c r="O167" s="114">
        <f>SUM(O158:O166)</f>
        <v>180096</v>
      </c>
      <c r="Q167" s="116"/>
      <c r="S167" s="114">
        <f>SUM(S158:S166)</f>
        <v>-3437.6630005479451</v>
      </c>
      <c r="U167" s="27" t="s">
        <v>26</v>
      </c>
      <c r="V167" s="108">
        <f>O167/K167-1</f>
        <v>0.11068900017268168</v>
      </c>
      <c r="W167" s="117"/>
      <c r="X167" s="117"/>
      <c r="Y167" s="28"/>
    </row>
    <row r="168" spans="1:26" ht="16.5" thickTop="1">
      <c r="A168" s="40" t="s">
        <v>45</v>
      </c>
      <c r="C168" s="407"/>
      <c r="E168" s="407"/>
      <c r="G168" s="433"/>
      <c r="H168" s="434"/>
      <c r="I168" s="429">
        <f>I126-I140-I154</f>
        <v>7789.8190999999642</v>
      </c>
      <c r="K168" s="429">
        <f>I168</f>
        <v>7789.8190999999642</v>
      </c>
      <c r="M168" s="36"/>
      <c r="N168" s="99"/>
      <c r="O168" s="89">
        <v>0</v>
      </c>
      <c r="Q168" s="36"/>
      <c r="R168" s="99"/>
      <c r="S168" s="89"/>
      <c r="T168" s="28"/>
      <c r="U168" s="15" t="s">
        <v>48</v>
      </c>
      <c r="V168" s="123">
        <f>(O167+O168)/(K167+K168)-1</f>
        <v>5.9775869513909896E-2</v>
      </c>
      <c r="W168" s="117"/>
      <c r="X168" s="117"/>
      <c r="Y168" s="28"/>
      <c r="Z168" s="120"/>
    </row>
    <row r="169" spans="1:26">
      <c r="A169" s="40" t="s">
        <v>46</v>
      </c>
      <c r="C169" s="407"/>
      <c r="E169" s="407"/>
      <c r="G169" s="433">
        <f>M169</f>
        <v>3.7600000000000001E-2</v>
      </c>
      <c r="H169" s="434"/>
      <c r="I169" s="429">
        <f>ROUND(SUM(I159:I164,I168)*$G169,0)</f>
        <v>6267</v>
      </c>
      <c r="K169" s="429">
        <f>ROUND(SUM(K159:K164,K168)*$G169,0)</f>
        <v>6308</v>
      </c>
      <c r="M169" s="119">
        <f>M127</f>
        <v>3.7600000000000001E-2</v>
      </c>
      <c r="N169" s="118"/>
      <c r="O169" s="89">
        <f>ROUND(SUM(O159:O164,O168)*M169,0)</f>
        <v>6681</v>
      </c>
      <c r="Q169" s="119"/>
      <c r="R169" s="118"/>
      <c r="S169" s="89"/>
      <c r="T169" s="28"/>
      <c r="V169"/>
      <c r="W169" s="117"/>
      <c r="X169" s="117"/>
      <c r="Y169" s="28"/>
      <c r="Z169" s="120"/>
    </row>
    <row r="170" spans="1:26">
      <c r="T170" s="28"/>
      <c r="W170" s="117"/>
      <c r="X170" s="117"/>
      <c r="Y170" s="28"/>
      <c r="Z170" s="120"/>
    </row>
    <row r="171" spans="1:26">
      <c r="A171" s="37" t="s">
        <v>85</v>
      </c>
      <c r="C171" s="407"/>
      <c r="D171" s="426"/>
      <c r="E171" s="407"/>
      <c r="F171" s="426"/>
      <c r="J171" s="426"/>
      <c r="L171" s="132"/>
      <c r="P171" s="132"/>
      <c r="T171" s="28"/>
    </row>
    <row r="172" spans="1:26">
      <c r="A172" s="40" t="s">
        <v>13</v>
      </c>
      <c r="C172" s="407">
        <v>231.498622222222</v>
      </c>
      <c r="E172" s="407">
        <v>264</v>
      </c>
      <c r="G172" s="237">
        <v>45</v>
      </c>
      <c r="H172" s="420"/>
      <c r="I172" s="421">
        <f>ROUND($G172*C172,0)</f>
        <v>10417</v>
      </c>
      <c r="K172" s="421">
        <f>ROUND($G172*E172,0)</f>
        <v>11880</v>
      </c>
      <c r="M172" s="41">
        <f>M116</f>
        <v>50</v>
      </c>
      <c r="N172" s="149"/>
      <c r="O172" s="28">
        <f>ROUND(M172*$E172,0)</f>
        <v>13200</v>
      </c>
      <c r="Q172" s="83"/>
      <c r="R172" s="149"/>
      <c r="S172" s="28"/>
      <c r="T172" s="28"/>
      <c r="X172" s="45">
        <f t="shared" ref="X172:X175" si="50">M172/G172-1</f>
        <v>0.11111111111111116</v>
      </c>
    </row>
    <row r="173" spans="1:26">
      <c r="A173" s="40" t="s">
        <v>86</v>
      </c>
      <c r="C173" s="407">
        <v>13416.282962184699</v>
      </c>
      <c r="E173" s="407">
        <f>ROUND(C173*$E$181/$C$181,0)</f>
        <v>21128</v>
      </c>
      <c r="G173" s="237">
        <v>15.16</v>
      </c>
      <c r="H173" s="420"/>
      <c r="I173" s="421">
        <f>ROUND($G173*C173,0)</f>
        <v>203391</v>
      </c>
      <c r="K173" s="421">
        <f>ROUND($G173*E173,0)</f>
        <v>320300</v>
      </c>
      <c r="M173" s="41">
        <f>M117</f>
        <v>16.84</v>
      </c>
      <c r="N173" s="149"/>
      <c r="O173" s="28">
        <f>ROUND(M173*$E173,0)</f>
        <v>355796</v>
      </c>
      <c r="Q173" s="83">
        <f>Q117</f>
        <v>-2.7799999999999998E-2</v>
      </c>
      <c r="R173" s="149"/>
      <c r="S173" s="28">
        <f t="shared" ref="S173:S174" si="51">O173*Q173*254/365</f>
        <v>-6883.1416854794506</v>
      </c>
      <c r="T173" s="28"/>
      <c r="W173" s="86"/>
      <c r="X173" s="45">
        <f t="shared" si="50"/>
        <v>0.1108179419525066</v>
      </c>
    </row>
    <row r="174" spans="1:26">
      <c r="A174" s="40" t="s">
        <v>87</v>
      </c>
      <c r="C174" s="407">
        <v>14064.6538782319</v>
      </c>
      <c r="E174" s="407">
        <f>ROUND(C174*$E$181/$C$181,0)</f>
        <v>22149</v>
      </c>
      <c r="G174" s="237">
        <v>12.17</v>
      </c>
      <c r="H174" s="420"/>
      <c r="I174" s="421">
        <f>ROUND($G174*C174,0)</f>
        <v>171167</v>
      </c>
      <c r="K174" s="421">
        <f>ROUND($G174*E174,0)</f>
        <v>269553</v>
      </c>
      <c r="M174" s="41">
        <f>M118</f>
        <v>13.52</v>
      </c>
      <c r="N174" s="149"/>
      <c r="O174" s="28">
        <f>ROUND(M174*$E174,0)</f>
        <v>299454</v>
      </c>
      <c r="Q174" s="83">
        <f>Q118</f>
        <v>-2.7799999999999998E-2</v>
      </c>
      <c r="R174" s="149"/>
      <c r="S174" s="28">
        <f t="shared" si="51"/>
        <v>-5793.1632460273977</v>
      </c>
      <c r="T174" s="28"/>
      <c r="X174" s="45">
        <f t="shared" si="50"/>
        <v>0.11092851273623672</v>
      </c>
    </row>
    <row r="175" spans="1:26">
      <c r="A175" s="40" t="s">
        <v>64</v>
      </c>
      <c r="C175" s="407">
        <v>0</v>
      </c>
      <c r="E175" s="407">
        <f>ROUND(C175*$E$181/$C$181,0)</f>
        <v>0</v>
      </c>
      <c r="G175" s="237">
        <v>-0.78</v>
      </c>
      <c r="H175" s="420"/>
      <c r="I175" s="421">
        <f>ROUND($G175*C175,0)</f>
        <v>0</v>
      </c>
      <c r="K175" s="421">
        <f>ROUND($G175*E175,0)</f>
        <v>0</v>
      </c>
      <c r="M175" s="41">
        <f>M119</f>
        <v>-0.87</v>
      </c>
      <c r="N175" s="149"/>
      <c r="O175" s="28">
        <f>ROUND(M175*$E175,0)</f>
        <v>0</v>
      </c>
      <c r="Q175" s="83"/>
      <c r="R175" s="149"/>
      <c r="S175" s="28"/>
      <c r="T175" s="28"/>
      <c r="V175" s="135"/>
      <c r="W175"/>
      <c r="X175" s="45">
        <f t="shared" si="50"/>
        <v>0.11538461538461542</v>
      </c>
    </row>
    <row r="176" spans="1:26">
      <c r="A176" s="40" t="s">
        <v>59</v>
      </c>
      <c r="C176" s="407">
        <f>C177+C178</f>
        <v>9092918.0341745205</v>
      </c>
      <c r="E176" s="407">
        <f>SUM(E177:E178)</f>
        <v>14361290</v>
      </c>
      <c r="G176" s="444"/>
      <c r="H176" s="424"/>
      <c r="I176" s="421"/>
      <c r="K176" s="421"/>
      <c r="M176" s="129"/>
      <c r="N176" s="48"/>
      <c r="O176" s="28"/>
      <c r="Q176" s="130"/>
      <c r="R176" s="48"/>
      <c r="S176" s="28"/>
      <c r="T176" s="79"/>
      <c r="V176" s="135"/>
    </row>
    <row r="177" spans="1:26">
      <c r="A177" s="40" t="s">
        <v>73</v>
      </c>
      <c r="C177" s="407">
        <v>4583893.0455210628</v>
      </c>
      <c r="E177" s="407">
        <f>ROUND(C177*$E$181/($C$181-$C$180),0)</f>
        <v>7239768</v>
      </c>
      <c r="G177" s="444">
        <v>3.1907000000000001</v>
      </c>
      <c r="H177" s="424" t="s">
        <v>17</v>
      </c>
      <c r="I177" s="421">
        <f>ROUND($G177*C177/100,0)</f>
        <v>146258</v>
      </c>
      <c r="K177" s="421">
        <f>ROUND($G177*E177/100,0)</f>
        <v>230999</v>
      </c>
      <c r="M177" s="129">
        <f>M121</f>
        <v>3.5438999999999998</v>
      </c>
      <c r="N177" s="48" t="s">
        <v>17</v>
      </c>
      <c r="O177" s="28">
        <f>ROUND(M177*$E177/100,0)</f>
        <v>256570</v>
      </c>
      <c r="Q177" s="130">
        <f>Q121</f>
        <v>-2.7799999999999998E-2</v>
      </c>
      <c r="R177" s="48"/>
      <c r="S177" s="28">
        <f t="shared" ref="S177:S178" si="52">O177*Q177*254/365</f>
        <v>-4963.5399561643835</v>
      </c>
      <c r="T177" s="79"/>
      <c r="X177" s="45">
        <f t="shared" ref="X177:X179" si="53">M177/G177-1</f>
        <v>0.11069671232018052</v>
      </c>
      <c r="Y177"/>
    </row>
    <row r="178" spans="1:26">
      <c r="A178" s="40" t="s">
        <v>74</v>
      </c>
      <c r="C178" s="407">
        <v>4509024.9886534577</v>
      </c>
      <c r="E178" s="407">
        <f>E181-E177</f>
        <v>7121522</v>
      </c>
      <c r="G178" s="444">
        <v>2.9416000000000002</v>
      </c>
      <c r="H178" s="424" t="s">
        <v>17</v>
      </c>
      <c r="I178" s="421">
        <f>ROUND($G178*C178/100,0)</f>
        <v>132637</v>
      </c>
      <c r="K178" s="421">
        <f>ROUND($G178*E178/100,0)</f>
        <v>209487</v>
      </c>
      <c r="M178" s="129">
        <f>M122</f>
        <v>3.2658999999999998</v>
      </c>
      <c r="N178" s="48" t="s">
        <v>17</v>
      </c>
      <c r="O178" s="28">
        <f>ROUND(M178*$E178/100,0)</f>
        <v>232582</v>
      </c>
      <c r="Q178" s="130">
        <f>Q122</f>
        <v>-2.7799999999999998E-2</v>
      </c>
      <c r="R178" s="48"/>
      <c r="S178" s="28">
        <f t="shared" si="52"/>
        <v>-4499.4740230136986</v>
      </c>
      <c r="T178" s="79"/>
      <c r="X178" s="45">
        <f t="shared" si="53"/>
        <v>0.11024612455806349</v>
      </c>
    </row>
    <row r="179" spans="1:26">
      <c r="A179" s="40" t="s">
        <v>69</v>
      </c>
      <c r="C179" s="407">
        <v>0</v>
      </c>
      <c r="D179" s="426"/>
      <c r="E179" s="407">
        <f>ROUND(C179*E172/C172,0)</f>
        <v>0</v>
      </c>
      <c r="F179" s="426"/>
      <c r="G179" s="237">
        <v>540</v>
      </c>
      <c r="H179" s="420"/>
      <c r="I179" s="421">
        <f>ROUND($G179*C179,0)</f>
        <v>0</v>
      </c>
      <c r="J179" s="426"/>
      <c r="K179" s="421">
        <f>ROUND($G179*E179,0)</f>
        <v>0</v>
      </c>
      <c r="L179" s="132"/>
      <c r="M179" s="41">
        <f>M123</f>
        <v>600</v>
      </c>
      <c r="N179" s="100"/>
      <c r="O179" s="28">
        <f>ROUND(M179*$E179,0)</f>
        <v>0</v>
      </c>
      <c r="P179" s="132"/>
      <c r="Q179" s="83"/>
      <c r="R179" s="100"/>
      <c r="S179" s="28"/>
      <c r="T179" s="79"/>
      <c r="U179" s="27" t="s">
        <v>26</v>
      </c>
      <c r="V179" s="108">
        <f>O181/K181-1</f>
        <v>0.11070897767167942</v>
      </c>
      <c r="X179" s="45">
        <f t="shared" si="53"/>
        <v>0.11111111111111116</v>
      </c>
      <c r="Z179"/>
    </row>
    <row r="180" spans="1:26">
      <c r="A180" s="40" t="s">
        <v>41</v>
      </c>
      <c r="C180" s="428">
        <v>26543</v>
      </c>
      <c r="E180" s="428">
        <v>0</v>
      </c>
      <c r="I180" s="429">
        <v>3158</v>
      </c>
      <c r="K180" s="429">
        <v>0</v>
      </c>
      <c r="O180" s="90">
        <v>0</v>
      </c>
      <c r="S180" s="90"/>
      <c r="U180" s="15" t="s">
        <v>48</v>
      </c>
      <c r="V180" s="123">
        <f>(O181+O182)/(K181+K182)-1</f>
        <v>9.9596924569310019E-2</v>
      </c>
    </row>
    <row r="181" spans="1:26" ht="16.5" thickBot="1">
      <c r="A181" s="40" t="s">
        <v>43</v>
      </c>
      <c r="C181" s="441">
        <f>C176+C180</f>
        <v>9119461.0341745205</v>
      </c>
      <c r="E181" s="441">
        <v>14361290</v>
      </c>
      <c r="G181" s="439"/>
      <c r="I181" s="440">
        <f>SUM(I172:I180)</f>
        <v>667028</v>
      </c>
      <c r="K181" s="440">
        <f>SUM(K172:K180)</f>
        <v>1042219</v>
      </c>
      <c r="M181" s="115"/>
      <c r="O181" s="114">
        <f>SUM(O172:O180)</f>
        <v>1157602</v>
      </c>
      <c r="Q181" s="116"/>
      <c r="S181" s="114">
        <f>SUM(S172:S180)</f>
        <v>-22139.318910684931</v>
      </c>
      <c r="V181"/>
    </row>
    <row r="182" spans="1:26" ht="16.5" thickTop="1">
      <c r="A182" s="40" t="s">
        <v>45</v>
      </c>
      <c r="C182" s="407"/>
      <c r="E182" s="407"/>
      <c r="G182" s="433"/>
      <c r="H182" s="434"/>
      <c r="I182" s="429">
        <v>10532.216499999999</v>
      </c>
      <c r="K182" s="429">
        <f>I182</f>
        <v>10532.216499999999</v>
      </c>
      <c r="M182" s="36"/>
      <c r="N182" s="99"/>
      <c r="O182" s="89">
        <v>0</v>
      </c>
      <c r="Q182" s="36"/>
      <c r="R182" s="99"/>
      <c r="S182" s="89"/>
      <c r="T182" s="28"/>
    </row>
    <row r="183" spans="1:26">
      <c r="A183" s="40" t="s">
        <v>46</v>
      </c>
      <c r="C183" s="407"/>
      <c r="E183" s="407"/>
      <c r="G183" s="433">
        <f>M183</f>
        <v>3.7600000000000001E-2</v>
      </c>
      <c r="H183" s="434"/>
      <c r="I183" s="429">
        <f>ROUND(SUM(I173:I179,I182)*$G183,0)</f>
        <v>24966</v>
      </c>
      <c r="K183" s="429">
        <f>ROUND(SUM(K173:K179,K182)*$G183,0)</f>
        <v>39137</v>
      </c>
      <c r="M183" s="119">
        <f>M169</f>
        <v>3.7600000000000001E-2</v>
      </c>
      <c r="N183" s="118"/>
      <c r="O183" s="89">
        <f>ROUND(SUM(O173:O178,O182)*M183,0)</f>
        <v>43030</v>
      </c>
      <c r="Q183" s="119"/>
      <c r="R183" s="118"/>
      <c r="S183" s="89"/>
      <c r="T183" s="28"/>
    </row>
    <row r="184" spans="1:26">
      <c r="C184" s="407"/>
      <c r="E184" s="407"/>
      <c r="T184" s="28"/>
    </row>
    <row r="185" spans="1:26">
      <c r="A185" s="37" t="s">
        <v>88</v>
      </c>
      <c r="C185" s="407"/>
      <c r="E185" s="407"/>
      <c r="T185" s="28"/>
    </row>
    <row r="186" spans="1:26">
      <c r="A186" s="150" t="s">
        <v>13</v>
      </c>
      <c r="C186" s="407">
        <v>108.99921481481501</v>
      </c>
      <c r="E186" s="407">
        <v>96</v>
      </c>
      <c r="G186" s="237">
        <v>45</v>
      </c>
      <c r="H186" s="420"/>
      <c r="I186" s="421">
        <f>ROUND($G186*C186,0)</f>
        <v>4905</v>
      </c>
      <c r="K186" s="421">
        <f>ROUND($G186*E186,0)</f>
        <v>4320</v>
      </c>
      <c r="M186" s="41">
        <f>M116</f>
        <v>50</v>
      </c>
      <c r="N186" s="149"/>
      <c r="O186" s="28">
        <f>ROUND(M186*$E186,0)</f>
        <v>4800</v>
      </c>
      <c r="Q186" s="83"/>
      <c r="R186" s="149"/>
      <c r="S186" s="28"/>
      <c r="T186" s="28"/>
      <c r="X186" s="45">
        <f t="shared" ref="X186:X189" si="54">M186/G186-1</f>
        <v>0.11111111111111116</v>
      </c>
    </row>
    <row r="187" spans="1:26">
      <c r="A187" s="40" t="s">
        <v>86</v>
      </c>
      <c r="C187" s="407">
        <v>10738.4543979599</v>
      </c>
      <c r="E187" s="407">
        <f>ROUND(C187*$E$195/$C$195,0)</f>
        <v>10928</v>
      </c>
      <c r="G187" s="237">
        <v>15.16</v>
      </c>
      <c r="H187" s="420"/>
      <c r="I187" s="421">
        <f>ROUND($G187*C187,0)</f>
        <v>162795</v>
      </c>
      <c r="K187" s="421">
        <f>ROUND($G187*E187,0)</f>
        <v>165668</v>
      </c>
      <c r="M187" s="41">
        <f>M117</f>
        <v>16.84</v>
      </c>
      <c r="N187" s="149"/>
      <c r="O187" s="28">
        <f>ROUND(M187*$E187,0)</f>
        <v>184028</v>
      </c>
      <c r="Q187" s="83">
        <f>Q117</f>
        <v>-2.7799999999999998E-2</v>
      </c>
      <c r="R187" s="149"/>
      <c r="S187" s="28">
        <f t="shared" ref="S187:S188" si="55">O187*Q187*254/365</f>
        <v>-3560.1603112328767</v>
      </c>
      <c r="T187" s="28"/>
      <c r="W187" s="86"/>
      <c r="X187" s="45">
        <f t="shared" si="54"/>
        <v>0.1108179419525066</v>
      </c>
    </row>
    <row r="188" spans="1:26">
      <c r="A188" s="40" t="s">
        <v>87</v>
      </c>
      <c r="C188" s="407">
        <v>12815.544620517099</v>
      </c>
      <c r="E188" s="407">
        <f>ROUND(C188*$E$195/$C$195,0)</f>
        <v>13042</v>
      </c>
      <c r="G188" s="237">
        <v>12.17</v>
      </c>
      <c r="H188" s="420"/>
      <c r="I188" s="421">
        <f>ROUND($G188*C188,0)</f>
        <v>155965</v>
      </c>
      <c r="K188" s="421">
        <f>ROUND($G188*E188,0)</f>
        <v>158721</v>
      </c>
      <c r="M188" s="41">
        <f>M118</f>
        <v>13.52</v>
      </c>
      <c r="N188" s="149"/>
      <c r="O188" s="28">
        <f>ROUND(M188*$E188,0)</f>
        <v>176328</v>
      </c>
      <c r="Q188" s="83">
        <f>Q118</f>
        <v>-2.7799999999999998E-2</v>
      </c>
      <c r="R188" s="149"/>
      <c r="S188" s="28">
        <f t="shared" si="55"/>
        <v>-3411.1980098630138</v>
      </c>
      <c r="T188" s="28"/>
      <c r="X188" s="45">
        <f t="shared" si="54"/>
        <v>0.11092851273623672</v>
      </c>
    </row>
    <row r="189" spans="1:26">
      <c r="A189" s="40" t="s">
        <v>64</v>
      </c>
      <c r="C189" s="407">
        <v>0</v>
      </c>
      <c r="E189" s="407">
        <f>ROUND(C189*$E$195/$C$195,0)</f>
        <v>0</v>
      </c>
      <c r="G189" s="237">
        <v>-0.78</v>
      </c>
      <c r="H189" s="420"/>
      <c r="I189" s="421">
        <f>ROUND($G189*C189,0)</f>
        <v>0</v>
      </c>
      <c r="K189" s="421">
        <f>ROUND($G189*E189,0)</f>
        <v>0</v>
      </c>
      <c r="M189" s="41">
        <f>M119</f>
        <v>-0.87</v>
      </c>
      <c r="N189" s="149"/>
      <c r="O189" s="28">
        <f>ROUND(M189*$E189,0)</f>
        <v>0</v>
      </c>
      <c r="Q189" s="83"/>
      <c r="R189" s="149"/>
      <c r="S189" s="28"/>
      <c r="T189" s="28"/>
      <c r="V189" s="135"/>
      <c r="W189"/>
      <c r="X189" s="45">
        <f t="shared" si="54"/>
        <v>0.11538461538461542</v>
      </c>
    </row>
    <row r="190" spans="1:26">
      <c r="A190" s="40" t="s">
        <v>59</v>
      </c>
      <c r="C190" s="407">
        <f>C191+C192</f>
        <v>7619856</v>
      </c>
      <c r="E190" s="407">
        <f>SUM(E191:E192)</f>
        <v>7781950</v>
      </c>
      <c r="G190" s="444"/>
      <c r="H190" s="424"/>
      <c r="I190" s="421"/>
      <c r="K190" s="421"/>
      <c r="M190" s="129"/>
      <c r="N190" s="48"/>
      <c r="O190" s="28"/>
      <c r="Q190" s="130"/>
      <c r="R190" s="48"/>
      <c r="S190" s="28"/>
      <c r="T190" s="79"/>
      <c r="V190" s="135"/>
    </row>
    <row r="191" spans="1:26">
      <c r="A191" s="40" t="s">
        <v>73</v>
      </c>
      <c r="C191" s="407">
        <v>3782760.97916988</v>
      </c>
      <c r="E191" s="407">
        <f>ROUND(C191*$E$195/($C$195-$C$194),0)</f>
        <v>3863230</v>
      </c>
      <c r="G191" s="444">
        <v>3.1907000000000001</v>
      </c>
      <c r="H191" s="424" t="s">
        <v>17</v>
      </c>
      <c r="I191" s="421">
        <f>ROUND($G191*C191/100,0)</f>
        <v>120697</v>
      </c>
      <c r="K191" s="421">
        <f>ROUND($G191*E191/100,0)</f>
        <v>123264</v>
      </c>
      <c r="M191" s="129">
        <f>M121</f>
        <v>3.5438999999999998</v>
      </c>
      <c r="N191" s="48" t="s">
        <v>17</v>
      </c>
      <c r="O191" s="28">
        <f>ROUND(M191*$E191/100,0)</f>
        <v>136909</v>
      </c>
      <c r="Q191" s="130">
        <f>Q121</f>
        <v>-2.7799999999999998E-2</v>
      </c>
      <c r="R191" s="48"/>
      <c r="S191" s="28">
        <f t="shared" ref="S191:S192" si="56">O191*Q191*254/365</f>
        <v>-2648.6077556164382</v>
      </c>
      <c r="T191" s="79"/>
      <c r="X191" s="45">
        <f t="shared" ref="X191:X193" si="57">M191/G191-1</f>
        <v>0.11069671232018052</v>
      </c>
      <c r="Y191"/>
    </row>
    <row r="192" spans="1:26">
      <c r="A192" s="40" t="s">
        <v>74</v>
      </c>
      <c r="C192" s="407">
        <v>3837095.02083012</v>
      </c>
      <c r="E192" s="407">
        <f>E195-E191</f>
        <v>3918720</v>
      </c>
      <c r="G192" s="444">
        <v>2.9416000000000002</v>
      </c>
      <c r="H192" s="424" t="s">
        <v>17</v>
      </c>
      <c r="I192" s="421">
        <f>ROUND($G192*C192/100,0)</f>
        <v>112872</v>
      </c>
      <c r="K192" s="421">
        <f>ROUND($G192*E192/100,0)</f>
        <v>115273</v>
      </c>
      <c r="M192" s="129">
        <f>M122</f>
        <v>3.2658999999999998</v>
      </c>
      <c r="N192" s="48" t="s">
        <v>17</v>
      </c>
      <c r="O192" s="28">
        <f>ROUND(M192*$E192/100,0)</f>
        <v>127981</v>
      </c>
      <c r="Q192" s="130">
        <f>Q122</f>
        <v>-2.7799999999999998E-2</v>
      </c>
      <c r="R192" s="48"/>
      <c r="S192" s="28">
        <f t="shared" si="56"/>
        <v>-2475.8888690410959</v>
      </c>
      <c r="T192" s="79"/>
      <c r="X192" s="45">
        <f t="shared" si="57"/>
        <v>0.11024612455806349</v>
      </c>
    </row>
    <row r="193" spans="1:26">
      <c r="A193" s="40" t="s">
        <v>69</v>
      </c>
      <c r="C193" s="407">
        <v>0</v>
      </c>
      <c r="D193" s="426"/>
      <c r="E193" s="407">
        <f>ROUND(C193*E186/C186,0)</f>
        <v>0</v>
      </c>
      <c r="F193" s="426"/>
      <c r="G193" s="237">
        <v>540</v>
      </c>
      <c r="H193" s="420"/>
      <c r="I193" s="421">
        <f>ROUND($G193*C193,0)</f>
        <v>0</v>
      </c>
      <c r="J193" s="426"/>
      <c r="K193" s="421">
        <f>ROUND($G193*E193,0)</f>
        <v>0</v>
      </c>
      <c r="L193" s="132"/>
      <c r="M193" s="41">
        <f>M123</f>
        <v>600</v>
      </c>
      <c r="N193" s="100"/>
      <c r="O193" s="28">
        <f>ROUND(M193*$E193,0)</f>
        <v>0</v>
      </c>
      <c r="P193" s="132"/>
      <c r="Q193" s="83"/>
      <c r="R193" s="100"/>
      <c r="S193" s="28"/>
      <c r="T193" s="79"/>
      <c r="U193" s="27" t="s">
        <v>26</v>
      </c>
      <c r="V193" s="108">
        <f>O195/K195-1</f>
        <v>0.11071034436558391</v>
      </c>
      <c r="W193" s="112"/>
      <c r="X193" s="45">
        <f t="shared" si="57"/>
        <v>0.11111111111111116</v>
      </c>
      <c r="Z193"/>
    </row>
    <row r="194" spans="1:26">
      <c r="A194" s="40" t="s">
        <v>41</v>
      </c>
      <c r="C194" s="428">
        <v>26977</v>
      </c>
      <c r="E194" s="428">
        <v>0</v>
      </c>
      <c r="I194" s="429">
        <v>1214</v>
      </c>
      <c r="K194" s="429">
        <v>0</v>
      </c>
      <c r="O194" s="90">
        <v>0</v>
      </c>
      <c r="S194" s="90"/>
      <c r="U194" s="15" t="s">
        <v>48</v>
      </c>
      <c r="V194" s="123">
        <f>(O195+O196)/(K195+K196)-1</f>
        <v>8.527951266052014E-2</v>
      </c>
      <c r="W194" s="112"/>
    </row>
    <row r="195" spans="1:26" ht="16.5" thickBot="1">
      <c r="A195" s="40" t="s">
        <v>43</v>
      </c>
      <c r="C195" s="441">
        <f>C190+C194</f>
        <v>7646833</v>
      </c>
      <c r="E195" s="441">
        <v>7781950</v>
      </c>
      <c r="G195" s="439"/>
      <c r="I195" s="440">
        <f>SUM(I186:I194)</f>
        <v>558448</v>
      </c>
      <c r="K195" s="440">
        <f>SUM(K186:K194)</f>
        <v>567246</v>
      </c>
      <c r="M195" s="115"/>
      <c r="O195" s="114">
        <f>SUM(O186:O194)</f>
        <v>630046</v>
      </c>
      <c r="Q195" s="116"/>
      <c r="S195" s="114">
        <f>SUM(S186:S194)</f>
        <v>-12095.854945753425</v>
      </c>
      <c r="V195"/>
      <c r="W195" s="112"/>
      <c r="X195" s="112"/>
    </row>
    <row r="196" spans="1:26" ht="16.5" thickTop="1">
      <c r="A196" s="40" t="s">
        <v>45</v>
      </c>
      <c r="C196" s="407"/>
      <c r="E196" s="407"/>
      <c r="G196" s="433"/>
      <c r="H196" s="434"/>
      <c r="I196" s="429">
        <v>13292.002099999998</v>
      </c>
      <c r="K196" s="429">
        <f>I196</f>
        <v>13292.002099999998</v>
      </c>
      <c r="M196" s="36"/>
      <c r="N196" s="99"/>
      <c r="O196" s="89">
        <v>0</v>
      </c>
      <c r="Q196" s="36"/>
      <c r="R196" s="99"/>
      <c r="S196" s="89"/>
      <c r="T196" s="28"/>
      <c r="W196" s="112"/>
      <c r="X196" s="112"/>
    </row>
    <row r="197" spans="1:26">
      <c r="A197" s="40" t="s">
        <v>46</v>
      </c>
      <c r="C197" s="407"/>
      <c r="E197" s="407"/>
      <c r="G197" s="433">
        <f>M197</f>
        <v>3.7600000000000001E-2</v>
      </c>
      <c r="H197" s="434"/>
      <c r="I197" s="429">
        <f>ROUND(SUM(I187:I193,I196)*$G197,0)</f>
        <v>21267</v>
      </c>
      <c r="K197" s="429">
        <f>ROUND(SUM(K187:K193,K196)*$G197,0)</f>
        <v>21666</v>
      </c>
      <c r="M197" s="119">
        <f>M183</f>
        <v>3.7600000000000001E-2</v>
      </c>
      <c r="N197" s="118"/>
      <c r="O197" s="89">
        <f>ROUND(SUM(O187:O192,O196)*M197,0)</f>
        <v>23509</v>
      </c>
      <c r="Q197" s="119"/>
      <c r="R197" s="118"/>
      <c r="S197" s="89"/>
      <c r="T197" s="133"/>
      <c r="W197" s="112"/>
      <c r="X197" s="112"/>
      <c r="Z197" s="151"/>
    </row>
    <row r="198" spans="1:26">
      <c r="C198" s="407"/>
      <c r="E198" s="407"/>
      <c r="T198" s="28"/>
      <c r="U198" s="119"/>
      <c r="V198" s="152"/>
      <c r="W198" s="112"/>
      <c r="X198" s="112"/>
      <c r="Z198" s="151"/>
    </row>
    <row r="199" spans="1:26">
      <c r="A199" s="37" t="s">
        <v>89</v>
      </c>
      <c r="C199" s="407"/>
      <c r="E199" s="407"/>
      <c r="G199" s="444"/>
      <c r="H199" s="443"/>
      <c r="M199" s="129"/>
      <c r="N199" s="125"/>
      <c r="Q199" s="130"/>
      <c r="R199" s="125"/>
      <c r="T199" s="28"/>
      <c r="W199" s="52" t="s">
        <v>4</v>
      </c>
      <c r="X199" s="117"/>
      <c r="Y199" s="28"/>
      <c r="Z199" s="120"/>
    </row>
    <row r="200" spans="1:26">
      <c r="A200" s="40" t="s">
        <v>13</v>
      </c>
      <c r="C200" s="407">
        <f t="shared" ref="C200:C209" si="58">C214+C228</f>
        <v>23972.122192592691</v>
      </c>
      <c r="E200" s="407">
        <f t="shared" ref="E200:E209" si="59">E214+E228</f>
        <v>25273</v>
      </c>
      <c r="G200" s="237">
        <v>45</v>
      </c>
      <c r="H200" s="420"/>
      <c r="I200" s="421">
        <f>ROUND($G200*C200,0)</f>
        <v>1078745</v>
      </c>
      <c r="K200" s="421">
        <f>ROUND($G200*E200,0)</f>
        <v>1137285</v>
      </c>
      <c r="M200" s="41">
        <f>M116</f>
        <v>50</v>
      </c>
      <c r="N200" s="100"/>
      <c r="O200" s="28">
        <f>ROUND(M200*$E200,0)</f>
        <v>1263650</v>
      </c>
      <c r="Q200" s="83"/>
      <c r="R200" s="100"/>
      <c r="S200" s="28"/>
      <c r="T200" s="28"/>
      <c r="U200" s="55" t="s">
        <v>20</v>
      </c>
      <c r="V200" s="56"/>
      <c r="W200" s="57">
        <f>S209</f>
        <v>-540443.6005835617</v>
      </c>
      <c r="X200" s="45">
        <f t="shared" ref="X200:X207" si="60">M200/G200-1</f>
        <v>0.11111111111111116</v>
      </c>
      <c r="Y200" s="28"/>
      <c r="Z200" s="120"/>
    </row>
    <row r="201" spans="1:26">
      <c r="A201" s="40" t="s">
        <v>90</v>
      </c>
      <c r="C201" s="407">
        <f t="shared" si="58"/>
        <v>764460.32062397338</v>
      </c>
      <c r="D201" s="426"/>
      <c r="E201" s="407">
        <f t="shared" si="59"/>
        <v>845471</v>
      </c>
      <c r="F201" s="426"/>
      <c r="G201" s="237">
        <v>5.37</v>
      </c>
      <c r="H201" s="420"/>
      <c r="I201" s="421">
        <f>ROUND($G201*C201,0)</f>
        <v>4105152</v>
      </c>
      <c r="J201" s="426"/>
      <c r="K201" s="421">
        <f>ROUND($G201*E201,0)</f>
        <v>4540179</v>
      </c>
      <c r="L201" s="132"/>
      <c r="M201" s="41">
        <f>ROUND(G201*(1+$V$125),2)</f>
        <v>5.96</v>
      </c>
      <c r="N201" s="42"/>
      <c r="O201" s="28">
        <f>ROUND(M201*$E201,0)</f>
        <v>5039007</v>
      </c>
      <c r="P201" s="132"/>
      <c r="Q201" s="83"/>
      <c r="R201" s="42"/>
      <c r="S201" s="28"/>
      <c r="T201" s="28"/>
      <c r="U201" s="60" t="s">
        <v>22</v>
      </c>
      <c r="V201" s="57"/>
      <c r="W201" s="57">
        <f>(K209+K210)*Stipulation!I8*254/365</f>
        <v>-540218.5256795641</v>
      </c>
      <c r="X201" s="45">
        <f t="shared" si="60"/>
        <v>0.10986964618249528</v>
      </c>
      <c r="Y201" s="28"/>
      <c r="Z201" s="120"/>
    </row>
    <row r="202" spans="1:26">
      <c r="A202" s="40" t="s">
        <v>91</v>
      </c>
      <c r="C202" s="407">
        <f t="shared" si="58"/>
        <v>913634.90868596802</v>
      </c>
      <c r="D202" s="426"/>
      <c r="E202" s="407">
        <f t="shared" si="59"/>
        <v>1010482</v>
      </c>
      <c r="F202" s="426"/>
      <c r="G202" s="237">
        <v>4.5</v>
      </c>
      <c r="H202" s="420"/>
      <c r="I202" s="421">
        <f>ROUND($G202*C202,0)</f>
        <v>4111357</v>
      </c>
      <c r="J202" s="426"/>
      <c r="K202" s="421">
        <f>ROUND($G202*E202,0)</f>
        <v>4547169</v>
      </c>
      <c r="L202" s="132"/>
      <c r="M202" s="41">
        <f>ROUND(G202*(1+$V$125),2)</f>
        <v>5</v>
      </c>
      <c r="N202" s="42"/>
      <c r="O202" s="28">
        <f>ROUND(M202*$E202,0)</f>
        <v>5052410</v>
      </c>
      <c r="P202" s="132"/>
      <c r="Q202" s="83"/>
      <c r="R202" s="42"/>
      <c r="S202" s="28"/>
      <c r="T202" s="28"/>
      <c r="U202" s="64" t="s">
        <v>24</v>
      </c>
      <c r="V202" s="65"/>
      <c r="W202" s="65">
        <f>W201-W200</f>
        <v>225.07490399759263</v>
      </c>
      <c r="X202" s="45">
        <f t="shared" si="60"/>
        <v>0.11111111111111116</v>
      </c>
      <c r="Z202" s="120"/>
    </row>
    <row r="203" spans="1:26">
      <c r="A203" s="40" t="s">
        <v>64</v>
      </c>
      <c r="C203" s="407">
        <f t="shared" si="58"/>
        <v>23625</v>
      </c>
      <c r="D203" s="426"/>
      <c r="E203" s="407">
        <f t="shared" si="59"/>
        <v>26033</v>
      </c>
      <c r="F203" s="426"/>
      <c r="G203" s="237">
        <v>-0.5</v>
      </c>
      <c r="H203" s="420"/>
      <c r="I203" s="421">
        <f>ROUND($G203*C203,0)</f>
        <v>-11813</v>
      </c>
      <c r="J203" s="426"/>
      <c r="K203" s="421">
        <f>ROUND($G203*E203,0)</f>
        <v>-13017</v>
      </c>
      <c r="L203" s="132"/>
      <c r="M203" s="41">
        <f>ROUND(G203*(1+$V$125),2)</f>
        <v>-0.56000000000000005</v>
      </c>
      <c r="N203" s="42"/>
      <c r="O203" s="28">
        <f>ROUND(M203*$E203,0)</f>
        <v>-14578</v>
      </c>
      <c r="P203" s="132"/>
      <c r="Q203" s="83"/>
      <c r="R203" s="42"/>
      <c r="S203" s="28"/>
      <c r="T203" s="28"/>
      <c r="U203" s="69" t="s">
        <v>26</v>
      </c>
      <c r="V203" s="139"/>
      <c r="W203" s="39"/>
      <c r="X203" s="45">
        <f t="shared" si="60"/>
        <v>0.12000000000000011</v>
      </c>
      <c r="Y203" s="28"/>
      <c r="Z203" s="120"/>
    </row>
    <row r="204" spans="1:26">
      <c r="A204" s="40" t="s">
        <v>53</v>
      </c>
      <c r="C204" s="407">
        <f t="shared" si="58"/>
        <v>47538268</v>
      </c>
      <c r="D204" s="426"/>
      <c r="E204" s="407">
        <f t="shared" si="59"/>
        <v>52632310</v>
      </c>
      <c r="F204" s="426"/>
      <c r="G204" s="438">
        <v>9.8184000000000005</v>
      </c>
      <c r="H204" s="424" t="s">
        <v>17</v>
      </c>
      <c r="I204" s="421">
        <f>ROUND($G204*C204/100,0)</f>
        <v>4667497</v>
      </c>
      <c r="J204" s="426"/>
      <c r="K204" s="421">
        <f>ROUND($G204*E204/100,0)</f>
        <v>5167651</v>
      </c>
      <c r="L204" s="132"/>
      <c r="M204" s="110">
        <f>ROUND(G204*(1+$V$125),4)</f>
        <v>10.905099999999999</v>
      </c>
      <c r="N204" s="48" t="s">
        <v>17</v>
      </c>
      <c r="O204" s="28">
        <f>ROUND(M204*$E204/100,0)</f>
        <v>5739606</v>
      </c>
      <c r="P204" s="132"/>
      <c r="Q204" s="83">
        <f>$W$204</f>
        <v>-4.5499999999999999E-2</v>
      </c>
      <c r="R204" s="48"/>
      <c r="S204" s="28">
        <f t="shared" ref="S204:S207" si="61">O204*Q204*254/365</f>
        <v>-181733.22340273974</v>
      </c>
      <c r="T204" s="79"/>
      <c r="U204" s="74" t="s">
        <v>28</v>
      </c>
      <c r="V204" s="140"/>
      <c r="W204" s="49">
        <f>ROUND(W201/SUM(O204:O207)*365/254,4)</f>
        <v>-4.5499999999999999E-2</v>
      </c>
      <c r="X204" s="45">
        <f t="shared" si="60"/>
        <v>0.1106799478530105</v>
      </c>
      <c r="Y204" s="28"/>
      <c r="Z204" s="120"/>
    </row>
    <row r="205" spans="1:26">
      <c r="A205" s="40" t="s">
        <v>54</v>
      </c>
      <c r="C205" s="407">
        <f t="shared" si="58"/>
        <v>49066764.721354015</v>
      </c>
      <c r="D205" s="426"/>
      <c r="E205" s="407">
        <f t="shared" si="59"/>
        <v>54439038</v>
      </c>
      <c r="F205" s="426"/>
      <c r="G205" s="438">
        <v>2.956</v>
      </c>
      <c r="H205" s="424" t="s">
        <v>17</v>
      </c>
      <c r="I205" s="421">
        <f>ROUND($G205*C205/100,0)</f>
        <v>1450414</v>
      </c>
      <c r="J205" s="426"/>
      <c r="K205" s="421">
        <f>ROUND($G205*E205/100,0)</f>
        <v>1609218</v>
      </c>
      <c r="L205" s="132"/>
      <c r="M205" s="110">
        <f t="shared" ref="M205:M207" si="62">ROUND(G205*(1+$V$125),4)</f>
        <v>3.2831999999999999</v>
      </c>
      <c r="N205" s="48" t="s">
        <v>17</v>
      </c>
      <c r="O205" s="28">
        <f>ROUND(M205*$E205/100,0)</f>
        <v>1787342</v>
      </c>
      <c r="P205" s="132"/>
      <c r="Q205" s="83">
        <f t="shared" ref="Q205:Q207" si="63">$W$204</f>
        <v>-4.5499999999999999E-2</v>
      </c>
      <c r="R205" s="48"/>
      <c r="S205" s="28">
        <f t="shared" si="61"/>
        <v>-56592.63423013698</v>
      </c>
      <c r="T205" s="79"/>
      <c r="U205" s="91" t="s">
        <v>80</v>
      </c>
      <c r="V205" s="146"/>
      <c r="X205" s="45">
        <f t="shared" si="60"/>
        <v>0.11069012178619753</v>
      </c>
      <c r="Z205"/>
    </row>
    <row r="206" spans="1:26">
      <c r="A206" s="40" t="s">
        <v>92</v>
      </c>
      <c r="C206" s="407">
        <f t="shared" si="58"/>
        <v>73841984</v>
      </c>
      <c r="D206" s="426"/>
      <c r="E206" s="407">
        <f t="shared" si="59"/>
        <v>81904480</v>
      </c>
      <c r="F206" s="426"/>
      <c r="G206" s="438">
        <v>8.2071000000000005</v>
      </c>
      <c r="H206" s="424" t="s">
        <v>17</v>
      </c>
      <c r="I206" s="421">
        <f>ROUND($G206*C206/100,0)</f>
        <v>6060285</v>
      </c>
      <c r="J206" s="426"/>
      <c r="K206" s="421">
        <f>ROUND($G206*E206/100,0)</f>
        <v>6721983</v>
      </c>
      <c r="L206" s="132"/>
      <c r="M206" s="110">
        <f t="shared" si="62"/>
        <v>9.1155000000000008</v>
      </c>
      <c r="N206" s="48" t="s">
        <v>17</v>
      </c>
      <c r="O206" s="28">
        <f>ROUND(M206*$E206/100,0)</f>
        <v>7466003</v>
      </c>
      <c r="P206" s="132"/>
      <c r="Q206" s="83">
        <f t="shared" si="63"/>
        <v>-4.5499999999999999E-2</v>
      </c>
      <c r="R206" s="48"/>
      <c r="S206" s="28">
        <f t="shared" si="61"/>
        <v>-236396.15526301367</v>
      </c>
      <c r="T206" s="79"/>
      <c r="U206" s="153" t="s">
        <v>48</v>
      </c>
      <c r="V206" s="139">
        <f>(O209+O210)/(K209+K210)-1</f>
        <v>6.3628142292389667E-2</v>
      </c>
      <c r="X206" s="45">
        <f t="shared" si="60"/>
        <v>0.11068465109478387</v>
      </c>
      <c r="Y206" s="28"/>
      <c r="Z206"/>
    </row>
    <row r="207" spans="1:26">
      <c r="A207" s="40" t="s">
        <v>93</v>
      </c>
      <c r="C207" s="407">
        <f t="shared" si="58"/>
        <v>67862464.804096475</v>
      </c>
      <c r="D207" s="426"/>
      <c r="E207" s="407">
        <f t="shared" si="59"/>
        <v>75409909.959862694</v>
      </c>
      <c r="F207" s="426"/>
      <c r="G207" s="438">
        <v>2.4782000000000002</v>
      </c>
      <c r="H207" s="424" t="s">
        <v>17</v>
      </c>
      <c r="I207" s="421">
        <f>ROUND($G207*C207/100,0)</f>
        <v>1681768</v>
      </c>
      <c r="J207" s="426"/>
      <c r="K207" s="421">
        <f>ROUND($G207*E207/100,0)</f>
        <v>1868808</v>
      </c>
      <c r="L207" s="132"/>
      <c r="M207" s="110">
        <f t="shared" si="62"/>
        <v>2.7524999999999999</v>
      </c>
      <c r="N207" s="48" t="s">
        <v>17</v>
      </c>
      <c r="O207" s="28">
        <f>ROUND(M207*$E207/100,0)</f>
        <v>2075658</v>
      </c>
      <c r="P207" s="132"/>
      <c r="Q207" s="83">
        <f t="shared" si="63"/>
        <v>-4.5499999999999999E-2</v>
      </c>
      <c r="R207" s="48"/>
      <c r="S207" s="28">
        <f t="shared" si="61"/>
        <v>-65721.587687671243</v>
      </c>
      <c r="T207" s="79"/>
      <c r="U207" s="69" t="s">
        <v>94</v>
      </c>
      <c r="V207" s="70">
        <f>E204/(E204+E205)</f>
        <v>0.49156297163644563</v>
      </c>
      <c r="X207" s="45">
        <f t="shared" si="60"/>
        <v>0.11068517472358952</v>
      </c>
      <c r="Z207"/>
    </row>
    <row r="208" spans="1:26">
      <c r="A208" s="40" t="s">
        <v>41</v>
      </c>
      <c r="C208" s="428">
        <f t="shared" si="58"/>
        <v>735195</v>
      </c>
      <c r="E208" s="428">
        <f t="shared" si="59"/>
        <v>0</v>
      </c>
      <c r="I208" s="429">
        <f>I222+I236</f>
        <v>97549</v>
      </c>
      <c r="K208" s="429">
        <f>K222+K236</f>
        <v>0</v>
      </c>
      <c r="O208" s="89">
        <v>0</v>
      </c>
      <c r="S208" s="89"/>
      <c r="U208" s="74" t="s">
        <v>95</v>
      </c>
      <c r="V208" s="75">
        <f>E206/(E206+E207)</f>
        <v>0.52064200878824352</v>
      </c>
      <c r="Z208"/>
    </row>
    <row r="209" spans="1:26" ht="16.5" thickBot="1">
      <c r="A209" s="40" t="s">
        <v>43</v>
      </c>
      <c r="C209" s="441">
        <f t="shared" si="58"/>
        <v>239044676.52545047</v>
      </c>
      <c r="E209" s="441">
        <f t="shared" si="59"/>
        <v>264385737.95986271</v>
      </c>
      <c r="G209" s="439"/>
      <c r="I209" s="440">
        <f>SUM(I200:I208)</f>
        <v>23240954</v>
      </c>
      <c r="K209" s="440">
        <f>SUM(K200:K208)</f>
        <v>25579276</v>
      </c>
      <c r="M209" s="115"/>
      <c r="O209" s="114">
        <f>SUM(O200:O208)</f>
        <v>28409098</v>
      </c>
      <c r="Q209" s="116"/>
      <c r="S209" s="114">
        <f>SUM(S200:S208)</f>
        <v>-540443.6005835617</v>
      </c>
      <c r="U209" s="74" t="s">
        <v>55</v>
      </c>
      <c r="V209" s="154">
        <f>E209/E200</f>
        <v>10461.193287692902</v>
      </c>
    </row>
    <row r="210" spans="1:26" ht="16.5" thickTop="1">
      <c r="A210" s="40" t="s">
        <v>45</v>
      </c>
      <c r="C210" s="407"/>
      <c r="E210" s="407"/>
      <c r="G210" s="433"/>
      <c r="H210" s="434"/>
      <c r="I210" s="429">
        <v>1130338.8272000002</v>
      </c>
      <c r="K210" s="429">
        <f>I210</f>
        <v>1130338.8272000002</v>
      </c>
      <c r="M210" s="36"/>
      <c r="N210" s="99"/>
      <c r="O210" s="89">
        <v>0</v>
      </c>
      <c r="Q210" s="36"/>
      <c r="R210" s="99"/>
      <c r="S210" s="89"/>
      <c r="T210" s="28"/>
      <c r="U210" s="91" t="s">
        <v>96</v>
      </c>
      <c r="V210" s="155">
        <f>(E201+E202)/E200</f>
        <v>73.436196731689947</v>
      </c>
    </row>
    <row r="211" spans="1:26">
      <c r="A211" s="40" t="s">
        <v>46</v>
      </c>
      <c r="C211" s="407"/>
      <c r="E211" s="407"/>
      <c r="G211" s="433">
        <f>M211</f>
        <v>3.8699999999999998E-2</v>
      </c>
      <c r="H211" s="434"/>
      <c r="I211" s="429">
        <f>ROUND(SUM(I201:I207,I210)*$G211,0)</f>
        <v>897646</v>
      </c>
      <c r="K211" s="429">
        <f>ROUND(SUM(K201:K207,K210)*$G211,0)</f>
        <v>989649</v>
      </c>
      <c r="M211" s="36">
        <v>3.8699999999999998E-2</v>
      </c>
      <c r="N211" s="99"/>
      <c r="O211" s="89">
        <f>ROUND(SUM(O201:O207,O210)*M211,0)</f>
        <v>1050529</v>
      </c>
      <c r="Q211" s="36"/>
      <c r="R211" s="99"/>
      <c r="S211" s="89"/>
      <c r="T211" s="28"/>
    </row>
    <row r="212" spans="1:26">
      <c r="C212" s="407"/>
      <c r="E212" s="407"/>
      <c r="T212" s="28"/>
    </row>
    <row r="213" spans="1:26">
      <c r="A213" s="37" t="s">
        <v>97</v>
      </c>
      <c r="C213" s="407"/>
      <c r="E213" s="407"/>
      <c r="G213" s="444"/>
      <c r="H213" s="443"/>
      <c r="M213" s="129"/>
      <c r="N213" s="125"/>
      <c r="Q213" s="130"/>
      <c r="R213" s="125"/>
      <c r="T213" s="28"/>
    </row>
    <row r="214" spans="1:26">
      <c r="A214" s="40" t="s">
        <v>13</v>
      </c>
      <c r="C214" s="407">
        <v>20977.218000000099</v>
      </c>
      <c r="E214" s="407">
        <v>22363</v>
      </c>
      <c r="G214" s="445">
        <v>45</v>
      </c>
      <c r="H214" s="426"/>
      <c r="I214" s="421">
        <f>ROUND($G214*C214,0)</f>
        <v>943975</v>
      </c>
      <c r="K214" s="421">
        <f>ROUND($G214*E214,0)</f>
        <v>1006335</v>
      </c>
      <c r="M214" s="133">
        <f t="shared" ref="M214:M221" si="64">M200</f>
        <v>50</v>
      </c>
      <c r="N214" s="132"/>
      <c r="O214" s="28">
        <f>ROUND(M214*$E214,0)</f>
        <v>1118150</v>
      </c>
      <c r="Q214" s="130"/>
      <c r="R214" s="132"/>
      <c r="S214" s="28"/>
      <c r="T214" s="28"/>
      <c r="X214" s="45">
        <f t="shared" ref="X214:X221" si="65">M214/G214-1</f>
        <v>0.11111111111111116</v>
      </c>
    </row>
    <row r="215" spans="1:26">
      <c r="A215" s="40" t="s">
        <v>90</v>
      </c>
      <c r="C215" s="407">
        <v>602996.25962975388</v>
      </c>
      <c r="E215" s="407">
        <f>ROUND(C215*$E$223/$C$223,0)</f>
        <v>670482</v>
      </c>
      <c r="G215" s="445">
        <v>5.37</v>
      </c>
      <c r="H215" s="426"/>
      <c r="I215" s="421">
        <f>ROUND($G215*C215,0)</f>
        <v>3238090</v>
      </c>
      <c r="K215" s="421">
        <f>ROUND($G215*E215,0)</f>
        <v>3600488</v>
      </c>
      <c r="M215" s="133">
        <f t="shared" si="64"/>
        <v>5.96</v>
      </c>
      <c r="N215" s="132"/>
      <c r="O215" s="28">
        <f>ROUND(M215*$E215,0)</f>
        <v>3996073</v>
      </c>
      <c r="Q215" s="130"/>
      <c r="R215" s="132"/>
      <c r="S215" s="28"/>
      <c r="T215" s="28"/>
      <c r="X215" s="45">
        <f t="shared" si="65"/>
        <v>0.10986964618249528</v>
      </c>
    </row>
    <row r="216" spans="1:26">
      <c r="A216" s="40" t="s">
        <v>91</v>
      </c>
      <c r="C216" s="407">
        <v>721646.50556792808</v>
      </c>
      <c r="E216" s="407">
        <f>ROUND(C216*$E$223/$C$223,0)</f>
        <v>802411</v>
      </c>
      <c r="G216" s="445">
        <v>4.5</v>
      </c>
      <c r="H216" s="426"/>
      <c r="I216" s="421">
        <f>ROUND($G216*C216,0)</f>
        <v>3247409</v>
      </c>
      <c r="K216" s="421">
        <f>ROUND($G216*E216,0)</f>
        <v>3610850</v>
      </c>
      <c r="M216" s="133">
        <f t="shared" si="64"/>
        <v>5</v>
      </c>
      <c r="N216" s="132"/>
      <c r="O216" s="28">
        <f>ROUND(M216*$E216,0)</f>
        <v>4012055</v>
      </c>
      <c r="Q216" s="130"/>
      <c r="R216" s="132"/>
      <c r="S216" s="28"/>
      <c r="T216" s="28"/>
      <c r="X216" s="45">
        <f t="shared" si="65"/>
        <v>0.11111111111111116</v>
      </c>
    </row>
    <row r="217" spans="1:26">
      <c r="A217" s="40" t="s">
        <v>64</v>
      </c>
      <c r="C217" s="407">
        <v>15226</v>
      </c>
      <c r="E217" s="407">
        <f>ROUND(C217*$E$223/$C$223,0)</f>
        <v>16930</v>
      </c>
      <c r="G217" s="445">
        <v>-0.5</v>
      </c>
      <c r="H217" s="426"/>
      <c r="I217" s="421">
        <f>ROUND($G217*C217,0)</f>
        <v>-7613</v>
      </c>
      <c r="K217" s="421">
        <f>ROUND($G217*E217,0)</f>
        <v>-8465</v>
      </c>
      <c r="M217" s="133">
        <f t="shared" si="64"/>
        <v>-0.56000000000000005</v>
      </c>
      <c r="N217" s="132"/>
      <c r="O217" s="28">
        <f>ROUND(M217*$E217,0)</f>
        <v>-9481</v>
      </c>
      <c r="Q217" s="130"/>
      <c r="R217" s="132"/>
      <c r="S217" s="28"/>
      <c r="T217" s="28"/>
      <c r="W217"/>
      <c r="X217" s="45">
        <f t="shared" si="65"/>
        <v>0.12000000000000011</v>
      </c>
    </row>
    <row r="218" spans="1:26">
      <c r="A218" s="40" t="s">
        <v>53</v>
      </c>
      <c r="C218" s="407">
        <v>33666634</v>
      </c>
      <c r="E218" s="407">
        <f>ROUND(C218*($E$223-$E$222)/($C$223-$C$222),0)</f>
        <v>37545465</v>
      </c>
      <c r="G218" s="447">
        <v>9.8184000000000005</v>
      </c>
      <c r="H218" s="424" t="s">
        <v>17</v>
      </c>
      <c r="I218" s="421">
        <f>ROUND($G218*C218/100,0)</f>
        <v>3305525</v>
      </c>
      <c r="K218" s="421">
        <f>ROUND($G218*E218/100,0)</f>
        <v>3686364</v>
      </c>
      <c r="M218" s="157">
        <f t="shared" si="64"/>
        <v>10.905099999999999</v>
      </c>
      <c r="N218" s="48" t="s">
        <v>17</v>
      </c>
      <c r="O218" s="28">
        <f>ROUND(M218*$E218/100,0)</f>
        <v>4094371</v>
      </c>
      <c r="Q218" s="130">
        <f t="shared" ref="Q218:Q221" si="66">Q204</f>
        <v>-4.5499999999999999E-2</v>
      </c>
      <c r="R218" s="48"/>
      <c r="S218" s="28">
        <f t="shared" ref="S218:S221" si="67">O218*Q218*254/365</f>
        <v>-129640.12506027397</v>
      </c>
      <c r="T218" s="79"/>
      <c r="X218" s="45">
        <f t="shared" si="65"/>
        <v>0.1106799478530105</v>
      </c>
    </row>
    <row r="219" spans="1:26">
      <c r="A219" s="40" t="s">
        <v>54</v>
      </c>
      <c r="C219" s="407">
        <v>38894259.721354015</v>
      </c>
      <c r="D219" s="426"/>
      <c r="E219" s="407">
        <f>ROUND(C219*($E$223-$E$222)/($C$223-$C$222),0)</f>
        <v>43375380</v>
      </c>
      <c r="F219" s="426"/>
      <c r="G219" s="447">
        <v>2.956</v>
      </c>
      <c r="H219" s="424" t="s">
        <v>17</v>
      </c>
      <c r="I219" s="421">
        <f>ROUND($G219*C219/100,0)</f>
        <v>1149714</v>
      </c>
      <c r="J219" s="426"/>
      <c r="K219" s="421">
        <f>ROUND($G219*E219/100,0)</f>
        <v>1282176</v>
      </c>
      <c r="L219" s="132"/>
      <c r="M219" s="157">
        <f t="shared" si="64"/>
        <v>3.2831999999999999</v>
      </c>
      <c r="N219" s="48" t="s">
        <v>17</v>
      </c>
      <c r="O219" s="28">
        <f>ROUND(M219*$E219/100,0)</f>
        <v>1424100</v>
      </c>
      <c r="P219" s="132"/>
      <c r="Q219" s="130">
        <f t="shared" si="66"/>
        <v>-4.5499999999999999E-2</v>
      </c>
      <c r="R219" s="48"/>
      <c r="S219" s="28">
        <f t="shared" si="67"/>
        <v>-45091.297808219177</v>
      </c>
      <c r="T219" s="79"/>
      <c r="X219" s="45">
        <f t="shared" si="65"/>
        <v>0.11069012178619753</v>
      </c>
      <c r="Y219"/>
    </row>
    <row r="220" spans="1:26">
      <c r="A220" s="40" t="s">
        <v>92</v>
      </c>
      <c r="C220" s="407">
        <v>57722035</v>
      </c>
      <c r="E220" s="407">
        <f>ROUND(C220*($E$223-$E$222)/($C$223-$C$222),0)</f>
        <v>64372358</v>
      </c>
      <c r="G220" s="447">
        <v>8.2071000000000005</v>
      </c>
      <c r="H220" s="424" t="s">
        <v>17</v>
      </c>
      <c r="I220" s="421">
        <f>ROUND($G220*C220/100,0)</f>
        <v>4737305</v>
      </c>
      <c r="K220" s="421">
        <f>ROUND($G220*E220/100,0)</f>
        <v>5283104</v>
      </c>
      <c r="M220" s="157">
        <f t="shared" si="64"/>
        <v>9.1155000000000008</v>
      </c>
      <c r="N220" s="48" t="s">
        <v>17</v>
      </c>
      <c r="O220" s="28">
        <f>ROUND(M220*$E220/100,0)</f>
        <v>5867862</v>
      </c>
      <c r="Q220" s="130">
        <f t="shared" si="66"/>
        <v>-4.5499999999999999E-2</v>
      </c>
      <c r="R220" s="48"/>
      <c r="S220" s="28">
        <f t="shared" si="67"/>
        <v>-185794.19488767124</v>
      </c>
      <c r="T220" s="79"/>
      <c r="X220" s="45">
        <f t="shared" si="65"/>
        <v>0.11068465109478387</v>
      </c>
    </row>
    <row r="221" spans="1:26">
      <c r="A221" s="40" t="s">
        <v>93</v>
      </c>
      <c r="C221" s="407">
        <v>58040035.804096475</v>
      </c>
      <c r="D221" s="426"/>
      <c r="E221" s="407">
        <f>E223-E218-E219-E220</f>
        <v>64726997</v>
      </c>
      <c r="F221" s="426"/>
      <c r="G221" s="447">
        <v>2.4782000000000002</v>
      </c>
      <c r="H221" s="424" t="s">
        <v>17</v>
      </c>
      <c r="I221" s="421">
        <f>ROUND($G221*C221/100,0)</f>
        <v>1438348</v>
      </c>
      <c r="J221" s="426"/>
      <c r="K221" s="421">
        <f>ROUND($G221*E221/100,0)</f>
        <v>1604064</v>
      </c>
      <c r="L221" s="132"/>
      <c r="M221" s="157">
        <f t="shared" si="64"/>
        <v>2.7524999999999999</v>
      </c>
      <c r="N221" s="48" t="s">
        <v>17</v>
      </c>
      <c r="O221" s="28">
        <f>ROUND(M221*$E221/100,0)</f>
        <v>1781611</v>
      </c>
      <c r="P221" s="132"/>
      <c r="Q221" s="130">
        <f t="shared" si="66"/>
        <v>-4.5499999999999999E-2</v>
      </c>
      <c r="R221" s="48"/>
      <c r="S221" s="28">
        <f t="shared" si="67"/>
        <v>-56411.173498630138</v>
      </c>
      <c r="T221" s="79"/>
      <c r="U221" s="27" t="s">
        <v>26</v>
      </c>
      <c r="V221" s="108">
        <f>O223/K223-1</f>
        <v>0.11063216013463495</v>
      </c>
      <c r="X221" s="45">
        <f t="shared" si="65"/>
        <v>0.11068517472358952</v>
      </c>
      <c r="Z221"/>
    </row>
    <row r="222" spans="1:26">
      <c r="A222" s="40" t="s">
        <v>41</v>
      </c>
      <c r="C222" s="428">
        <v>558223</v>
      </c>
      <c r="E222" s="428">
        <v>0</v>
      </c>
      <c r="I222" s="429">
        <v>86407</v>
      </c>
      <c r="K222" s="429">
        <v>0</v>
      </c>
      <c r="O222" s="89">
        <v>0</v>
      </c>
      <c r="S222" s="89"/>
      <c r="U222" s="15" t="s">
        <v>48</v>
      </c>
      <c r="V222" s="123">
        <f>(O223+O224)/(K223+K224)-1</f>
        <v>6.3856731467600847E-2</v>
      </c>
    </row>
    <row r="223" spans="1:26" ht="16.5" thickBot="1">
      <c r="A223" s="40" t="s">
        <v>43</v>
      </c>
      <c r="C223" s="441">
        <f>C218+C219+C222+C220+C221</f>
        <v>188881187.52545047</v>
      </c>
      <c r="E223" s="441">
        <v>210020200</v>
      </c>
      <c r="G223" s="439"/>
      <c r="I223" s="440">
        <f>SUM(I214:I222)</f>
        <v>18139160</v>
      </c>
      <c r="K223" s="440">
        <f>SUM(K214:K222)</f>
        <v>20064916</v>
      </c>
      <c r="M223" s="115"/>
      <c r="O223" s="114">
        <f>SUM(O214:O222)</f>
        <v>22284741</v>
      </c>
      <c r="Q223" s="116"/>
      <c r="S223" s="114">
        <f>SUM(S214:S222)</f>
        <v>-416936.79125479452</v>
      </c>
      <c r="V223"/>
    </row>
    <row r="224" spans="1:26" ht="16.5" thickTop="1">
      <c r="A224" s="40" t="s">
        <v>45</v>
      </c>
      <c r="C224" s="407"/>
      <c r="E224" s="407"/>
      <c r="G224" s="433"/>
      <c r="H224" s="434"/>
      <c r="I224" s="429">
        <f>ROUND(I210*I223/I209,0)</f>
        <v>882210</v>
      </c>
      <c r="K224" s="429">
        <f>I224</f>
        <v>882210</v>
      </c>
      <c r="M224" s="36"/>
      <c r="N224" s="99"/>
      <c r="O224" s="89">
        <v>0</v>
      </c>
      <c r="Q224" s="36"/>
      <c r="R224" s="99"/>
      <c r="S224" s="89"/>
      <c r="T224" s="28"/>
    </row>
    <row r="225" spans="1:26">
      <c r="A225" s="40" t="s">
        <v>46</v>
      </c>
      <c r="C225" s="407"/>
      <c r="E225" s="407"/>
      <c r="G225" s="433">
        <f>M225</f>
        <v>3.8699999999999998E-2</v>
      </c>
      <c r="H225" s="434"/>
      <c r="I225" s="429">
        <f>ROUND(SUM(I215:I221,I224)*G225,0)</f>
        <v>696251</v>
      </c>
      <c r="K225" s="429">
        <f>ROUND(SUM(K215:K221,K224)*G225,0)</f>
        <v>771709</v>
      </c>
      <c r="M225" s="119">
        <f>M211</f>
        <v>3.8699999999999998E-2</v>
      </c>
      <c r="N225" s="118"/>
      <c r="O225" s="89">
        <f>ROUND(SUM(O215:O221,O224)*M225,0)</f>
        <v>819147</v>
      </c>
      <c r="Q225" s="119"/>
      <c r="R225" s="118"/>
      <c r="S225" s="89"/>
      <c r="T225" s="28"/>
    </row>
    <row r="226" spans="1:26">
      <c r="C226" s="407"/>
      <c r="E226" s="407"/>
      <c r="T226" s="28"/>
    </row>
    <row r="227" spans="1:26">
      <c r="A227" s="37" t="s">
        <v>98</v>
      </c>
      <c r="C227" s="407"/>
      <c r="E227" s="407"/>
      <c r="G227" s="444"/>
      <c r="H227" s="443"/>
      <c r="M227" s="129"/>
      <c r="N227" s="125"/>
      <c r="Q227" s="130"/>
      <c r="R227" s="125"/>
      <c r="T227" s="28"/>
    </row>
    <row r="228" spans="1:26">
      <c r="A228" s="40" t="s">
        <v>13</v>
      </c>
      <c r="C228" s="407">
        <v>2994.9041925925912</v>
      </c>
      <c r="E228" s="407">
        <v>2910</v>
      </c>
      <c r="G228" s="445">
        <v>45</v>
      </c>
      <c r="H228" s="426"/>
      <c r="I228" s="421">
        <f>ROUND($G228*C228,0)</f>
        <v>134771</v>
      </c>
      <c r="K228" s="421">
        <f>ROUND($G228*E228,0)</f>
        <v>130950</v>
      </c>
      <c r="M228" s="133">
        <f t="shared" ref="M228:M235" si="68">M200</f>
        <v>50</v>
      </c>
      <c r="N228" s="132"/>
      <c r="O228" s="28">
        <f>ROUND(M228*$E228,0)</f>
        <v>145500</v>
      </c>
      <c r="Q228" s="130"/>
      <c r="R228" s="132"/>
      <c r="S228" s="28"/>
      <c r="T228" s="28"/>
      <c r="X228" s="45">
        <f t="shared" ref="X228:X235" si="69">M228/G228-1</f>
        <v>0.11111111111111116</v>
      </c>
    </row>
    <row r="229" spans="1:26">
      <c r="A229" s="40" t="s">
        <v>90</v>
      </c>
      <c r="C229" s="407">
        <v>161464.06099421953</v>
      </c>
      <c r="E229" s="407">
        <f>ROUND(C229*$E$237/$C$237,0)</f>
        <v>174989</v>
      </c>
      <c r="G229" s="445">
        <v>5.37</v>
      </c>
      <c r="H229" s="426"/>
      <c r="I229" s="421">
        <f>ROUND($G229*C229,0)</f>
        <v>867062</v>
      </c>
      <c r="K229" s="421">
        <f>ROUND($G229*E229,0)</f>
        <v>939691</v>
      </c>
      <c r="M229" s="133">
        <f t="shared" si="68"/>
        <v>5.96</v>
      </c>
      <c r="N229" s="132"/>
      <c r="O229" s="28">
        <f>ROUND(M229*$E229,0)</f>
        <v>1042934</v>
      </c>
      <c r="Q229" s="130"/>
      <c r="R229" s="132"/>
      <c r="S229" s="28"/>
      <c r="T229" s="28"/>
      <c r="X229" s="45">
        <f t="shared" si="69"/>
        <v>0.10986964618249528</v>
      </c>
    </row>
    <row r="230" spans="1:26">
      <c r="A230" s="40" t="s">
        <v>91</v>
      </c>
      <c r="C230" s="407">
        <v>191988.40311804001</v>
      </c>
      <c r="E230" s="407">
        <f>ROUND(C230*$E$237/$C$237,0)</f>
        <v>208071</v>
      </c>
      <c r="G230" s="445">
        <v>4.5</v>
      </c>
      <c r="H230" s="426"/>
      <c r="I230" s="421">
        <f>ROUND($G230*C230,0)</f>
        <v>863948</v>
      </c>
      <c r="K230" s="421">
        <f>ROUND($G230*E230,0)</f>
        <v>936320</v>
      </c>
      <c r="M230" s="133">
        <f t="shared" si="68"/>
        <v>5</v>
      </c>
      <c r="N230" s="132"/>
      <c r="O230" s="28">
        <f>ROUND(M230*$E230,0)</f>
        <v>1040355</v>
      </c>
      <c r="Q230" s="130"/>
      <c r="R230" s="132"/>
      <c r="S230" s="28"/>
      <c r="T230" s="28"/>
      <c r="X230" s="45">
        <f t="shared" si="69"/>
        <v>0.11111111111111116</v>
      </c>
    </row>
    <row r="231" spans="1:26">
      <c r="A231" s="40" t="s">
        <v>64</v>
      </c>
      <c r="C231" s="407">
        <v>8399</v>
      </c>
      <c r="D231" s="426"/>
      <c r="E231" s="407">
        <f>ROUND(C231*$E$237/$C$237,0)</f>
        <v>9103</v>
      </c>
      <c r="F231" s="426"/>
      <c r="G231" s="445">
        <v>-0.5</v>
      </c>
      <c r="H231" s="426"/>
      <c r="I231" s="421">
        <f>ROUND($G231*C231,0)</f>
        <v>-4200</v>
      </c>
      <c r="J231" s="426"/>
      <c r="K231" s="421">
        <f>ROUND($G231*E231,0)</f>
        <v>-4552</v>
      </c>
      <c r="L231" s="132"/>
      <c r="M231" s="133">
        <f t="shared" si="68"/>
        <v>-0.56000000000000005</v>
      </c>
      <c r="N231" s="132"/>
      <c r="O231" s="28">
        <f>ROUND(M231*$E231,0)</f>
        <v>-5098</v>
      </c>
      <c r="P231" s="132"/>
      <c r="Q231" s="130"/>
      <c r="R231" s="132"/>
      <c r="S231" s="28"/>
      <c r="T231" s="28"/>
      <c r="W231"/>
      <c r="X231" s="45">
        <f t="shared" si="69"/>
        <v>0.12000000000000011</v>
      </c>
    </row>
    <row r="232" spans="1:26">
      <c r="A232" s="40" t="s">
        <v>53</v>
      </c>
      <c r="C232" s="407">
        <v>13871634</v>
      </c>
      <c r="D232" s="426"/>
      <c r="E232" s="407">
        <f>ROUND(C232*($E$237-$E$236)/($C$237-$C$236),0)</f>
        <v>15086845</v>
      </c>
      <c r="F232" s="426"/>
      <c r="G232" s="447">
        <v>9.8184000000000005</v>
      </c>
      <c r="H232" s="424" t="s">
        <v>17</v>
      </c>
      <c r="I232" s="421">
        <f>ROUND($G232*C232/100,0)</f>
        <v>1361973</v>
      </c>
      <c r="J232" s="426"/>
      <c r="K232" s="421">
        <f>ROUND($G232*E232/100,0)</f>
        <v>1481287</v>
      </c>
      <c r="L232" s="132"/>
      <c r="M232" s="157">
        <f t="shared" si="68"/>
        <v>10.905099999999999</v>
      </c>
      <c r="N232" s="48" t="s">
        <v>17</v>
      </c>
      <c r="O232" s="28">
        <f>ROUND(M232*$E232/100,0)</f>
        <v>1645236</v>
      </c>
      <c r="P232" s="132"/>
      <c r="Q232" s="130">
        <f t="shared" ref="Q232:Q235" si="70">Q204</f>
        <v>-4.5499999999999999E-2</v>
      </c>
      <c r="R232" s="48"/>
      <c r="S232" s="28">
        <f t="shared" ref="S232:S235" si="71">O232*Q232*254/365</f>
        <v>-52093.130005479448</v>
      </c>
      <c r="T232" s="79"/>
      <c r="X232" s="45">
        <f t="shared" si="69"/>
        <v>0.1106799478530105</v>
      </c>
    </row>
    <row r="233" spans="1:26">
      <c r="A233" s="40" t="s">
        <v>54</v>
      </c>
      <c r="C233" s="407">
        <v>10172505</v>
      </c>
      <c r="D233" s="426"/>
      <c r="E233" s="407">
        <f>ROUND(C233*($E$237-$E$236)/($C$237-$C$236),0)</f>
        <v>11063658</v>
      </c>
      <c r="F233" s="426"/>
      <c r="G233" s="447">
        <v>2.956</v>
      </c>
      <c r="H233" s="424" t="s">
        <v>17</v>
      </c>
      <c r="I233" s="421">
        <f>ROUND($G233*C233/100,0)</f>
        <v>300699</v>
      </c>
      <c r="J233" s="426"/>
      <c r="K233" s="421">
        <f>ROUND($G233*E233/100,0)</f>
        <v>327042</v>
      </c>
      <c r="L233" s="132"/>
      <c r="M233" s="157">
        <f t="shared" si="68"/>
        <v>3.2831999999999999</v>
      </c>
      <c r="N233" s="48" t="s">
        <v>17</v>
      </c>
      <c r="O233" s="28">
        <f>ROUND(M233*$E233/100,0)</f>
        <v>363242</v>
      </c>
      <c r="P233" s="132"/>
      <c r="Q233" s="130">
        <f t="shared" si="70"/>
        <v>-4.5499999999999999E-2</v>
      </c>
      <c r="R233" s="48"/>
      <c r="S233" s="28">
        <f t="shared" si="71"/>
        <v>-11501.336421917807</v>
      </c>
      <c r="T233" s="79"/>
      <c r="X233" s="45">
        <f t="shared" si="69"/>
        <v>0.11069012178619753</v>
      </c>
      <c r="Y233"/>
    </row>
    <row r="234" spans="1:26">
      <c r="A234" s="40" t="s">
        <v>92</v>
      </c>
      <c r="C234" s="407">
        <v>16119949</v>
      </c>
      <c r="D234" s="426"/>
      <c r="E234" s="407">
        <f>ROUND(C234*($E$237-$E$236)/($C$237-$C$236),0)</f>
        <v>17532122</v>
      </c>
      <c r="F234" s="426"/>
      <c r="G234" s="447">
        <v>8.2071000000000005</v>
      </c>
      <c r="H234" s="424" t="s">
        <v>17</v>
      </c>
      <c r="I234" s="421">
        <f>ROUND($G234*C234/100,0)</f>
        <v>1322980</v>
      </c>
      <c r="J234" s="426"/>
      <c r="K234" s="421">
        <f>ROUND($G234*E234/100,0)</f>
        <v>1438879</v>
      </c>
      <c r="L234" s="132"/>
      <c r="M234" s="157">
        <f t="shared" si="68"/>
        <v>9.1155000000000008</v>
      </c>
      <c r="N234" s="48" t="s">
        <v>17</v>
      </c>
      <c r="O234" s="28">
        <f>ROUND(M234*$E234/100,0)</f>
        <v>1598141</v>
      </c>
      <c r="P234" s="132"/>
      <c r="Q234" s="130">
        <f t="shared" si="70"/>
        <v>-4.5499999999999999E-2</v>
      </c>
      <c r="R234" s="48"/>
      <c r="S234" s="28">
        <f t="shared" si="71"/>
        <v>-50601.960375342467</v>
      </c>
      <c r="T234" s="79"/>
      <c r="X234" s="45">
        <f t="shared" si="69"/>
        <v>0.11068465109478387</v>
      </c>
    </row>
    <row r="235" spans="1:26">
      <c r="A235" s="40" t="s">
        <v>93</v>
      </c>
      <c r="C235" s="407">
        <v>9822429</v>
      </c>
      <c r="D235" s="426"/>
      <c r="E235" s="407">
        <f>E237-E232-E233-E234</f>
        <v>10682912.959862694</v>
      </c>
      <c r="F235" s="426"/>
      <c r="G235" s="447">
        <v>2.4782000000000002</v>
      </c>
      <c r="H235" s="424" t="s">
        <v>17</v>
      </c>
      <c r="I235" s="421">
        <f>ROUND($G235*C235/100,0)</f>
        <v>243419</v>
      </c>
      <c r="J235" s="426"/>
      <c r="K235" s="421">
        <f>ROUND($G235*E235/100,0)</f>
        <v>264744</v>
      </c>
      <c r="L235" s="132"/>
      <c r="M235" s="157">
        <f t="shared" si="68"/>
        <v>2.7524999999999999</v>
      </c>
      <c r="N235" s="48" t="s">
        <v>17</v>
      </c>
      <c r="O235" s="28">
        <f>ROUND(M235*$E235/100,0)</f>
        <v>294047</v>
      </c>
      <c r="P235" s="132"/>
      <c r="Q235" s="130">
        <f t="shared" si="70"/>
        <v>-4.5499999999999999E-2</v>
      </c>
      <c r="R235" s="48"/>
      <c r="S235" s="28">
        <f t="shared" si="71"/>
        <v>-9310.4141890410956</v>
      </c>
      <c r="T235" s="79"/>
      <c r="U235" s="27" t="s">
        <v>26</v>
      </c>
      <c r="V235" s="108">
        <f>O237/K237-1</f>
        <v>0.11061952599766323</v>
      </c>
      <c r="X235" s="45">
        <f t="shared" si="69"/>
        <v>0.11068517472358952</v>
      </c>
      <c r="Z235"/>
    </row>
    <row r="236" spans="1:26">
      <c r="A236" s="40" t="s">
        <v>41</v>
      </c>
      <c r="C236" s="428">
        <v>176972</v>
      </c>
      <c r="E236" s="428">
        <v>0</v>
      </c>
      <c r="I236" s="429">
        <v>11142</v>
      </c>
      <c r="K236" s="429">
        <v>0</v>
      </c>
      <c r="O236" s="89">
        <v>0</v>
      </c>
      <c r="S236" s="89"/>
      <c r="U236" s="15" t="s">
        <v>48</v>
      </c>
      <c r="V236" s="123">
        <f>(O237+O238)/(K237+K238)-1</f>
        <v>6.2797017201127403E-2</v>
      </c>
    </row>
    <row r="237" spans="1:26" ht="16.5" thickBot="1">
      <c r="A237" s="40" t="s">
        <v>43</v>
      </c>
      <c r="C237" s="441">
        <f>C232+C233+C236+C234+C235</f>
        <v>50163489</v>
      </c>
      <c r="D237" s="426"/>
      <c r="E237" s="441">
        <v>54365537.959862694</v>
      </c>
      <c r="F237" s="426"/>
      <c r="G237" s="439"/>
      <c r="I237" s="440">
        <f>SUM(I228:I236)</f>
        <v>5101794</v>
      </c>
      <c r="K237" s="440">
        <f>SUM(K228:K236)</f>
        <v>5514361</v>
      </c>
      <c r="L237" s="132"/>
      <c r="M237" s="115"/>
      <c r="O237" s="114">
        <f>SUM(O228:O236)</f>
        <v>6124357</v>
      </c>
      <c r="P237" s="132"/>
      <c r="Q237" s="116"/>
      <c r="S237" s="114">
        <f>SUM(S228:S236)</f>
        <v>-123506.84099178083</v>
      </c>
      <c r="V237"/>
    </row>
    <row r="238" spans="1:26" ht="16.5" thickTop="1">
      <c r="A238" s="40" t="s">
        <v>45</v>
      </c>
      <c r="C238" s="407"/>
      <c r="E238" s="407"/>
      <c r="G238" s="433"/>
      <c r="H238" s="434"/>
      <c r="I238" s="429">
        <f>I210-I224</f>
        <v>248128.82720000017</v>
      </c>
      <c r="K238" s="429">
        <f>I238</f>
        <v>248128.82720000017</v>
      </c>
      <c r="M238" s="36"/>
      <c r="N238" s="99"/>
      <c r="O238" s="89">
        <v>0</v>
      </c>
      <c r="Q238" s="36"/>
      <c r="R238" s="99"/>
      <c r="S238" s="89"/>
      <c r="T238" s="28"/>
    </row>
    <row r="239" spans="1:26">
      <c r="A239" s="40" t="s">
        <v>46</v>
      </c>
      <c r="C239" s="407"/>
      <c r="E239" s="407"/>
      <c r="G239" s="433">
        <f>M239</f>
        <v>3.8699999999999998E-2</v>
      </c>
      <c r="H239" s="434"/>
      <c r="I239" s="429">
        <f>ROUND(SUM(I229:I235,I238)*G239,0)</f>
        <v>201395</v>
      </c>
      <c r="K239" s="429">
        <f>ROUND(SUM(K229:K235,K238)*G239,0)</f>
        <v>217941</v>
      </c>
      <c r="M239" s="119">
        <f>M211</f>
        <v>3.8699999999999998E-2</v>
      </c>
      <c r="N239" s="118"/>
      <c r="O239" s="89">
        <f>ROUND(SUM(O229:O235,O238)*M239,0)</f>
        <v>231382</v>
      </c>
      <c r="Q239" s="119"/>
      <c r="R239" s="118"/>
      <c r="S239" s="89"/>
      <c r="T239" s="28"/>
    </row>
    <row r="240" spans="1:26">
      <c r="D240" s="426"/>
      <c r="F240" s="426"/>
      <c r="J240" s="426"/>
      <c r="L240" s="132"/>
      <c r="P240" s="132"/>
      <c r="T240" s="28"/>
    </row>
    <row r="241" spans="1:26">
      <c r="A241" s="37" t="s">
        <v>99</v>
      </c>
      <c r="C241" s="407"/>
      <c r="E241" s="407"/>
      <c r="T241" s="28"/>
      <c r="V241" s="16"/>
      <c r="W241" s="112"/>
      <c r="X241" s="112"/>
      <c r="Z241" s="151"/>
    </row>
    <row r="242" spans="1:26">
      <c r="A242" s="158" t="s">
        <v>100</v>
      </c>
      <c r="C242" s="407"/>
      <c r="E242" s="407"/>
      <c r="I242" s="421"/>
      <c r="K242" s="421"/>
      <c r="O242" s="28"/>
      <c r="S242" s="28"/>
      <c r="T242" s="28"/>
      <c r="U242" s="43"/>
      <c r="V242" s="43"/>
      <c r="W242" s="112"/>
      <c r="X242" s="112"/>
      <c r="Z242" s="151"/>
    </row>
    <row r="243" spans="1:26">
      <c r="A243" s="40" t="s">
        <v>101</v>
      </c>
      <c r="C243" s="407">
        <v>23.999388906982901</v>
      </c>
      <c r="E243" s="407">
        <f>ROUND(C243*$E$276/$C$276,0)</f>
        <v>26</v>
      </c>
      <c r="G243" s="237">
        <v>5.63</v>
      </c>
      <c r="H243" s="420"/>
      <c r="I243" s="421">
        <f>ROUND(G243*$C243,0)</f>
        <v>135</v>
      </c>
      <c r="K243" s="421">
        <f>ROUND(G243*$E243,0)</f>
        <v>146</v>
      </c>
      <c r="M243" s="41">
        <f>ROUND(G243*(1+V$275),2)</f>
        <v>5.68</v>
      </c>
      <c r="N243" s="42"/>
      <c r="O243" s="133">
        <f>ROUND(M243*$E243,0)</f>
        <v>148</v>
      </c>
      <c r="Q243" s="83">
        <f>$W$275</f>
        <v>-6.4000000000000003E-3</v>
      </c>
      <c r="R243" s="42"/>
      <c r="S243" s="28">
        <f t="shared" ref="S243:S246" si="72">O243*Q243*254/365</f>
        <v>-0.65914739726027405</v>
      </c>
      <c r="T243" s="28"/>
      <c r="U243" s="43"/>
      <c r="V243" s="43"/>
      <c r="W243" s="112"/>
      <c r="X243" s="45">
        <f t="shared" ref="X243:X258" si="73">M243/G243-1</f>
        <v>8.8809946714032417E-3</v>
      </c>
      <c r="Z243" s="151"/>
    </row>
    <row r="244" spans="1:26">
      <c r="A244" s="40" t="s">
        <v>102</v>
      </c>
      <c r="C244" s="407">
        <v>48144.95415977294</v>
      </c>
      <c r="E244" s="407">
        <f>ROUND(C244*$E$276/$C$276,0)</f>
        <v>51852</v>
      </c>
      <c r="G244" s="237">
        <v>16.23</v>
      </c>
      <c r="H244" s="420"/>
      <c r="I244" s="421">
        <f>ROUND(G244*$C244,0)</f>
        <v>781393</v>
      </c>
      <c r="K244" s="421">
        <f>ROUND(G244*$E244,0)</f>
        <v>841558</v>
      </c>
      <c r="M244" s="41">
        <f t="shared" ref="M244:M274" si="74">ROUND(G244*(1+V$275),2)</f>
        <v>16.38</v>
      </c>
      <c r="N244" s="42"/>
      <c r="O244" s="28">
        <f>ROUND(M244*$E244,0)</f>
        <v>849336</v>
      </c>
      <c r="Q244" s="83">
        <f t="shared" ref="Q244:Q274" si="75">$W$275</f>
        <v>-6.4000000000000003E-3</v>
      </c>
      <c r="R244" s="42"/>
      <c r="S244" s="28">
        <f t="shared" si="72"/>
        <v>-3782.686579726027</v>
      </c>
      <c r="T244" s="28"/>
      <c r="U244" s="43"/>
      <c r="V244" s="43"/>
      <c r="W244" s="112"/>
      <c r="X244" s="45">
        <f t="shared" si="73"/>
        <v>9.2421441774490631E-3</v>
      </c>
      <c r="Z244" s="151"/>
    </row>
    <row r="245" spans="1:26">
      <c r="A245" s="40" t="s">
        <v>103</v>
      </c>
      <c r="C245" s="407">
        <v>275.999498746867</v>
      </c>
      <c r="E245" s="407">
        <f>ROUND(C245*$E$276/$C$276,0)</f>
        <v>297</v>
      </c>
      <c r="G245" s="237">
        <v>7.98</v>
      </c>
      <c r="H245" s="420"/>
      <c r="I245" s="421">
        <f>ROUND(G245*$C245,0)</f>
        <v>2202</v>
      </c>
      <c r="K245" s="421">
        <f>ROUND(G245*$E245,0)</f>
        <v>2370</v>
      </c>
      <c r="M245" s="41">
        <f t="shared" si="74"/>
        <v>8.0500000000000007</v>
      </c>
      <c r="N245" s="42"/>
      <c r="O245" s="28">
        <f>ROUND(M245*$E245,0)</f>
        <v>2391</v>
      </c>
      <c r="Q245" s="83">
        <f t="shared" si="75"/>
        <v>-6.4000000000000003E-3</v>
      </c>
      <c r="R245" s="42"/>
      <c r="S245" s="28">
        <f t="shared" si="72"/>
        <v>-10.648793424657534</v>
      </c>
      <c r="T245" s="28"/>
      <c r="V245" s="16"/>
      <c r="W245" s="112"/>
      <c r="X245" s="45">
        <f t="shared" si="73"/>
        <v>8.7719298245614308E-3</v>
      </c>
      <c r="Z245" s="151"/>
    </row>
    <row r="246" spans="1:26">
      <c r="A246" s="40" t="s">
        <v>104</v>
      </c>
      <c r="C246" s="407">
        <v>12417.90699144184</v>
      </c>
      <c r="E246" s="407">
        <f>ROUND(C246*$E$276/$C$276,0)</f>
        <v>13374</v>
      </c>
      <c r="G246" s="237">
        <v>26.53</v>
      </c>
      <c r="H246" s="420"/>
      <c r="I246" s="421">
        <f>ROUND(G246*$C246,0)</f>
        <v>329447</v>
      </c>
      <c r="K246" s="421">
        <f>ROUND(G246*$E246,0)</f>
        <v>354812</v>
      </c>
      <c r="M246" s="41">
        <f t="shared" si="74"/>
        <v>26.78</v>
      </c>
      <c r="N246" s="42"/>
      <c r="O246" s="28">
        <f>ROUND(M246*$E246,0)</f>
        <v>358156</v>
      </c>
      <c r="Q246" s="83">
        <f t="shared" si="75"/>
        <v>-6.4000000000000003E-3</v>
      </c>
      <c r="R246" s="42"/>
      <c r="S246" s="28">
        <f t="shared" si="72"/>
        <v>-1595.1188865753427</v>
      </c>
      <c r="T246" s="28"/>
      <c r="U246" s="43"/>
      <c r="V246" s="43"/>
      <c r="W246" s="112"/>
      <c r="X246" s="45">
        <f t="shared" si="73"/>
        <v>9.423294383716474E-3</v>
      </c>
      <c r="Z246" s="151"/>
    </row>
    <row r="247" spans="1:26">
      <c r="A247" s="158" t="s">
        <v>105</v>
      </c>
      <c r="C247" s="407"/>
      <c r="E247" s="407"/>
      <c r="I247" s="421"/>
      <c r="K247" s="421"/>
      <c r="M247" s="15"/>
      <c r="O247" s="28"/>
      <c r="Q247" s="141"/>
      <c r="S247" s="28"/>
      <c r="T247" s="28"/>
      <c r="U247" s="43"/>
      <c r="V247" s="43"/>
      <c r="W247" s="112"/>
      <c r="X247" s="45"/>
      <c r="Z247" s="151"/>
    </row>
    <row r="248" spans="1:26">
      <c r="A248" s="40" t="s">
        <v>106</v>
      </c>
      <c r="C248" s="407">
        <v>3638.5013098476702</v>
      </c>
      <c r="E248" s="407">
        <f t="shared" ref="E248:E258" si="76">ROUND(C248*$E$276/$C$276,0)</f>
        <v>3919</v>
      </c>
      <c r="G248" s="237">
        <v>14.46</v>
      </c>
      <c r="H248" s="420"/>
      <c r="I248" s="421">
        <f t="shared" ref="I248:I258" si="77">ROUND(G248*$C248,0)</f>
        <v>52613</v>
      </c>
      <c r="K248" s="421">
        <f t="shared" ref="K248:K258" si="78">ROUND(G248*$E248,0)</f>
        <v>56669</v>
      </c>
      <c r="M248" s="41">
        <f t="shared" si="74"/>
        <v>14.6</v>
      </c>
      <c r="N248" s="42"/>
      <c r="O248" s="28">
        <f t="shared" ref="O248:O258" si="79">ROUND(M248*$E248,0)</f>
        <v>57217</v>
      </c>
      <c r="Q248" s="83">
        <f t="shared" si="75"/>
        <v>-6.4000000000000003E-3</v>
      </c>
      <c r="R248" s="42"/>
      <c r="S248" s="28">
        <f t="shared" ref="S248:S258" si="80">O248*Q248*254/365</f>
        <v>-254.82727452054795</v>
      </c>
      <c r="T248" s="28"/>
      <c r="U248" s="43"/>
      <c r="V248" s="43"/>
      <c r="W248" s="112"/>
      <c r="X248" s="45">
        <f t="shared" si="73"/>
        <v>9.6818810511756226E-3</v>
      </c>
      <c r="Z248" s="151"/>
    </row>
    <row r="249" spans="1:26">
      <c r="A249" s="40" t="s">
        <v>107</v>
      </c>
      <c r="C249" s="407">
        <v>1857.9043483803989</v>
      </c>
      <c r="E249" s="407">
        <f t="shared" si="76"/>
        <v>2001</v>
      </c>
      <c r="G249" s="237">
        <v>12.12</v>
      </c>
      <c r="H249" s="420"/>
      <c r="I249" s="421">
        <f t="shared" si="77"/>
        <v>22518</v>
      </c>
      <c r="K249" s="421">
        <f t="shared" si="78"/>
        <v>24252</v>
      </c>
      <c r="M249" s="41">
        <f t="shared" si="74"/>
        <v>12.23</v>
      </c>
      <c r="N249" s="42"/>
      <c r="O249" s="28">
        <f t="shared" si="79"/>
        <v>24472</v>
      </c>
      <c r="Q249" s="83">
        <f t="shared" si="75"/>
        <v>-6.4000000000000003E-3</v>
      </c>
      <c r="R249" s="42"/>
      <c r="S249" s="28">
        <f t="shared" si="80"/>
        <v>-108.99091287671233</v>
      </c>
      <c r="T249" s="28"/>
      <c r="U249" s="43"/>
      <c r="V249" s="43"/>
      <c r="W249" s="112"/>
      <c r="X249" s="45">
        <f t="shared" si="73"/>
        <v>9.075907590759158E-3</v>
      </c>
      <c r="Z249" s="151"/>
    </row>
    <row r="250" spans="1:26">
      <c r="A250" s="40" t="s">
        <v>108</v>
      </c>
      <c r="C250" s="407">
        <v>24525.384352027715</v>
      </c>
      <c r="E250" s="407">
        <f t="shared" si="76"/>
        <v>26414</v>
      </c>
      <c r="G250" s="237">
        <v>15.33</v>
      </c>
      <c r="H250" s="420"/>
      <c r="I250" s="421">
        <f t="shared" si="77"/>
        <v>375974</v>
      </c>
      <c r="K250" s="421">
        <f t="shared" si="78"/>
        <v>404927</v>
      </c>
      <c r="M250" s="41">
        <f t="shared" si="74"/>
        <v>15.47</v>
      </c>
      <c r="N250" s="42"/>
      <c r="O250" s="28">
        <f t="shared" si="79"/>
        <v>408625</v>
      </c>
      <c r="Q250" s="83">
        <f t="shared" si="75"/>
        <v>-6.4000000000000003E-3</v>
      </c>
      <c r="R250" s="42"/>
      <c r="S250" s="28">
        <f t="shared" si="80"/>
        <v>-1819.892602739726</v>
      </c>
      <c r="T250" s="28"/>
      <c r="U250" s="43"/>
      <c r="V250" s="43"/>
      <c r="W250" s="112"/>
      <c r="X250" s="45">
        <f t="shared" si="73"/>
        <v>9.1324200913243114E-3</v>
      </c>
      <c r="Z250" s="151"/>
    </row>
    <row r="251" spans="1:26">
      <c r="A251" s="40" t="s">
        <v>109</v>
      </c>
      <c r="C251" s="407">
        <v>23872.052740957191</v>
      </c>
      <c r="E251" s="407">
        <f t="shared" si="76"/>
        <v>25710</v>
      </c>
      <c r="G251" s="237">
        <v>13.19</v>
      </c>
      <c r="H251" s="420"/>
      <c r="I251" s="421">
        <f t="shared" si="77"/>
        <v>314872</v>
      </c>
      <c r="K251" s="421">
        <f t="shared" si="78"/>
        <v>339115</v>
      </c>
      <c r="M251" s="41">
        <f t="shared" si="74"/>
        <v>13.31</v>
      </c>
      <c r="N251" s="42"/>
      <c r="O251" s="28">
        <f t="shared" si="79"/>
        <v>342200</v>
      </c>
      <c r="Q251" s="83">
        <f t="shared" si="75"/>
        <v>-6.4000000000000003E-3</v>
      </c>
      <c r="R251" s="42"/>
      <c r="S251" s="28">
        <f t="shared" si="80"/>
        <v>-1524.0556712328766</v>
      </c>
      <c r="T251" s="28"/>
      <c r="U251" s="43"/>
      <c r="V251" s="43"/>
      <c r="W251" s="112"/>
      <c r="X251" s="45">
        <f t="shared" si="73"/>
        <v>9.0978013646703104E-3</v>
      </c>
      <c r="Z251" s="151"/>
    </row>
    <row r="252" spans="1:26">
      <c r="A252" s="40" t="s">
        <v>110</v>
      </c>
      <c r="C252" s="407">
        <v>2752.869158354164</v>
      </c>
      <c r="E252" s="407">
        <f t="shared" si="76"/>
        <v>2965</v>
      </c>
      <c r="G252" s="237">
        <v>19.28</v>
      </c>
      <c r="H252" s="420"/>
      <c r="I252" s="421">
        <f t="shared" si="77"/>
        <v>53075</v>
      </c>
      <c r="K252" s="421">
        <f t="shared" si="78"/>
        <v>57165</v>
      </c>
      <c r="M252" s="41">
        <f t="shared" si="74"/>
        <v>19.46</v>
      </c>
      <c r="N252" s="42"/>
      <c r="O252" s="28">
        <f t="shared" si="79"/>
        <v>57699</v>
      </c>
      <c r="Q252" s="83">
        <f t="shared" si="75"/>
        <v>-6.4000000000000003E-3</v>
      </c>
      <c r="R252" s="42"/>
      <c r="S252" s="28">
        <f t="shared" si="80"/>
        <v>-256.97395726027401</v>
      </c>
      <c r="T252" s="28"/>
      <c r="U252" s="43"/>
      <c r="V252" s="43"/>
      <c r="W252" s="112"/>
      <c r="X252" s="45">
        <f t="shared" si="73"/>
        <v>9.3360995850622075E-3</v>
      </c>
      <c r="Z252" s="151"/>
    </row>
    <row r="253" spans="1:26">
      <c r="A253" s="40" t="s">
        <v>111</v>
      </c>
      <c r="C253" s="407">
        <v>2681.3389193173252</v>
      </c>
      <c r="E253" s="407">
        <f t="shared" si="76"/>
        <v>2888</v>
      </c>
      <c r="G253" s="237">
        <v>16.97</v>
      </c>
      <c r="H253" s="420"/>
      <c r="I253" s="421">
        <f t="shared" si="77"/>
        <v>45502</v>
      </c>
      <c r="K253" s="421">
        <f t="shared" si="78"/>
        <v>49009</v>
      </c>
      <c r="M253" s="41">
        <f t="shared" si="74"/>
        <v>17.13</v>
      </c>
      <c r="N253" s="42"/>
      <c r="O253" s="28">
        <f t="shared" si="79"/>
        <v>49471</v>
      </c>
      <c r="Q253" s="83">
        <f t="shared" si="75"/>
        <v>-6.4000000000000003E-3</v>
      </c>
      <c r="R253" s="42"/>
      <c r="S253" s="28">
        <f t="shared" si="80"/>
        <v>-220.32892493150686</v>
      </c>
      <c r="T253" s="28"/>
      <c r="U253" s="43"/>
      <c r="V253" s="43"/>
      <c r="W253" s="112"/>
      <c r="X253" s="45">
        <f t="shared" si="73"/>
        <v>9.4284030642310945E-3</v>
      </c>
      <c r="Z253" s="151"/>
    </row>
    <row r="254" spans="1:26">
      <c r="A254" s="40" t="s">
        <v>112</v>
      </c>
      <c r="C254" s="407">
        <v>129.99904168663159</v>
      </c>
      <c r="E254" s="407">
        <f t="shared" si="76"/>
        <v>140</v>
      </c>
      <c r="G254" s="237">
        <v>20.87</v>
      </c>
      <c r="H254" s="420"/>
      <c r="I254" s="421">
        <f t="shared" si="77"/>
        <v>2713</v>
      </c>
      <c r="K254" s="421">
        <f t="shared" si="78"/>
        <v>2922</v>
      </c>
      <c r="M254" s="41">
        <f t="shared" si="74"/>
        <v>21.07</v>
      </c>
      <c r="N254" s="42"/>
      <c r="O254" s="28">
        <f t="shared" si="79"/>
        <v>2950</v>
      </c>
      <c r="Q254" s="83">
        <f t="shared" si="75"/>
        <v>-6.4000000000000003E-3</v>
      </c>
      <c r="R254" s="42"/>
      <c r="S254" s="28">
        <f t="shared" si="80"/>
        <v>-13.13841095890411</v>
      </c>
      <c r="T254" s="28"/>
      <c r="U254" s="43"/>
      <c r="V254" s="43"/>
      <c r="W254" s="112"/>
      <c r="X254" s="45">
        <f t="shared" si="73"/>
        <v>9.5831336847149728E-3</v>
      </c>
      <c r="Z254" s="151"/>
    </row>
    <row r="255" spans="1:26">
      <c r="A255" s="40" t="s">
        <v>113</v>
      </c>
      <c r="C255" s="407">
        <v>3417.5011928764379</v>
      </c>
      <c r="E255" s="407">
        <f t="shared" si="76"/>
        <v>3681</v>
      </c>
      <c r="G255" s="237">
        <v>23.29</v>
      </c>
      <c r="H255" s="420"/>
      <c r="I255" s="421">
        <f t="shared" si="77"/>
        <v>79594</v>
      </c>
      <c r="K255" s="421">
        <f t="shared" si="78"/>
        <v>85730</v>
      </c>
      <c r="M255" s="41">
        <f t="shared" si="74"/>
        <v>23.51</v>
      </c>
      <c r="N255" s="42"/>
      <c r="O255" s="28">
        <f t="shared" si="79"/>
        <v>86540</v>
      </c>
      <c r="Q255" s="83">
        <f t="shared" si="75"/>
        <v>-6.4000000000000003E-3</v>
      </c>
      <c r="R255" s="42"/>
      <c r="S255" s="28">
        <f t="shared" si="80"/>
        <v>-385.42307945205476</v>
      </c>
      <c r="T255" s="28"/>
      <c r="U255" s="43"/>
      <c r="V255" s="43"/>
      <c r="W255" s="112"/>
      <c r="X255" s="45">
        <f t="shared" si="73"/>
        <v>9.4461142121082808E-3</v>
      </c>
      <c r="Z255" s="151"/>
    </row>
    <row r="256" spans="1:26">
      <c r="A256" s="40" t="s">
        <v>114</v>
      </c>
      <c r="C256" s="407">
        <v>3367.8711492258053</v>
      </c>
      <c r="E256" s="407">
        <f t="shared" si="76"/>
        <v>3627</v>
      </c>
      <c r="G256" s="237">
        <v>21.03</v>
      </c>
      <c r="H256" s="420"/>
      <c r="I256" s="421">
        <f t="shared" si="77"/>
        <v>70826</v>
      </c>
      <c r="K256" s="421">
        <f t="shared" si="78"/>
        <v>76276</v>
      </c>
      <c r="M256" s="41">
        <f t="shared" si="74"/>
        <v>21.23</v>
      </c>
      <c r="N256" s="42"/>
      <c r="O256" s="28">
        <f t="shared" si="79"/>
        <v>77001</v>
      </c>
      <c r="Q256" s="83">
        <f t="shared" si="75"/>
        <v>-6.4000000000000003E-3</v>
      </c>
      <c r="R256" s="42"/>
      <c r="S256" s="28">
        <f t="shared" si="80"/>
        <v>-342.93924821917807</v>
      </c>
      <c r="T256" s="28"/>
      <c r="U256" s="43"/>
      <c r="V256" s="43"/>
      <c r="W256" s="112"/>
      <c r="X256" s="45">
        <f t="shared" si="73"/>
        <v>9.51022349025199E-3</v>
      </c>
      <c r="Z256" s="151"/>
    </row>
    <row r="257" spans="1:26">
      <c r="A257" s="40" t="s">
        <v>115</v>
      </c>
      <c r="C257" s="407">
        <v>1207.5326835883679</v>
      </c>
      <c r="E257" s="407">
        <f t="shared" si="76"/>
        <v>1301</v>
      </c>
      <c r="G257" s="237">
        <v>28.04</v>
      </c>
      <c r="H257" s="420"/>
      <c r="I257" s="421">
        <f t="shared" si="77"/>
        <v>33859</v>
      </c>
      <c r="K257" s="421">
        <f t="shared" si="78"/>
        <v>36480</v>
      </c>
      <c r="M257" s="41">
        <f t="shared" si="74"/>
        <v>28.3</v>
      </c>
      <c r="N257" s="42"/>
      <c r="O257" s="28">
        <f t="shared" si="79"/>
        <v>36818</v>
      </c>
      <c r="Q257" s="83">
        <f t="shared" si="75"/>
        <v>-6.4000000000000003E-3</v>
      </c>
      <c r="R257" s="42"/>
      <c r="S257" s="28">
        <f t="shared" si="80"/>
        <v>-163.97627616438356</v>
      </c>
      <c r="T257" s="28"/>
      <c r="V257" s="16"/>
      <c r="W257" s="112"/>
      <c r="X257" s="45">
        <f t="shared" si="73"/>
        <v>9.2724679029958512E-3</v>
      </c>
      <c r="Z257" s="151"/>
    </row>
    <row r="258" spans="1:26">
      <c r="A258" s="40" t="s">
        <v>116</v>
      </c>
      <c r="C258" s="407">
        <v>1915.1024697103448</v>
      </c>
      <c r="E258" s="407">
        <f t="shared" si="76"/>
        <v>2063</v>
      </c>
      <c r="G258" s="237">
        <v>25.75</v>
      </c>
      <c r="H258" s="420"/>
      <c r="I258" s="421">
        <f t="shared" si="77"/>
        <v>49314</v>
      </c>
      <c r="K258" s="421">
        <f t="shared" si="78"/>
        <v>53122</v>
      </c>
      <c r="M258" s="41">
        <f t="shared" si="74"/>
        <v>25.99</v>
      </c>
      <c r="N258" s="42"/>
      <c r="O258" s="28">
        <f t="shared" si="79"/>
        <v>53617</v>
      </c>
      <c r="Q258" s="83">
        <f t="shared" si="75"/>
        <v>-6.4000000000000003E-3</v>
      </c>
      <c r="R258" s="42"/>
      <c r="S258" s="28">
        <f t="shared" si="80"/>
        <v>-238.79395945205476</v>
      </c>
      <c r="T258" s="28"/>
      <c r="U258" s="43"/>
      <c r="V258" s="43"/>
      <c r="W258" s="112"/>
      <c r="X258" s="45">
        <f t="shared" si="73"/>
        <v>9.3203883495145412E-3</v>
      </c>
      <c r="Z258" s="151"/>
    </row>
    <row r="259" spans="1:26">
      <c r="A259" s="158" t="s">
        <v>117</v>
      </c>
      <c r="C259" s="407"/>
      <c r="E259" s="407"/>
      <c r="I259" s="421"/>
      <c r="K259" s="421"/>
      <c r="M259" s="15"/>
      <c r="O259" s="28"/>
      <c r="Q259" s="141"/>
      <c r="S259" s="28"/>
      <c r="T259" s="28"/>
      <c r="U259" s="43"/>
      <c r="V259" s="43"/>
      <c r="W259" s="112"/>
      <c r="X259" s="112"/>
      <c r="Z259" s="151"/>
    </row>
    <row r="260" spans="1:26">
      <c r="A260" s="40" t="s">
        <v>110</v>
      </c>
      <c r="C260" s="407">
        <v>4987.3554564773349</v>
      </c>
      <c r="E260" s="407">
        <f t="shared" ref="E260:E265" si="81">ROUND(C260*$E$276/$C$276,0)</f>
        <v>5371</v>
      </c>
      <c r="G260" s="237">
        <v>19.28</v>
      </c>
      <c r="H260" s="420"/>
      <c r="I260" s="421">
        <f t="shared" ref="I260:I265" si="82">ROUND(G260*$C260,0)</f>
        <v>96156</v>
      </c>
      <c r="K260" s="421">
        <f t="shared" ref="K260:K265" si="83">ROUND(G260*$E260,0)</f>
        <v>103553</v>
      </c>
      <c r="M260" s="41">
        <f t="shared" si="74"/>
        <v>19.46</v>
      </c>
      <c r="N260" s="42"/>
      <c r="O260" s="28">
        <f t="shared" ref="O260:O265" si="84">ROUND(M260*$E260,0)</f>
        <v>104520</v>
      </c>
      <c r="Q260" s="83">
        <f t="shared" si="75"/>
        <v>-6.4000000000000003E-3</v>
      </c>
      <c r="R260" s="42"/>
      <c r="S260" s="28">
        <f t="shared" ref="S260:S265" si="85">O260*Q260*254/365</f>
        <v>-465.50058082191782</v>
      </c>
      <c r="T260" s="28"/>
      <c r="U260" s="43"/>
      <c r="V260" s="43"/>
      <c r="W260" s="112"/>
      <c r="X260" s="45">
        <f t="shared" ref="X260:X265" si="86">M260/G260-1</f>
        <v>9.3360995850622075E-3</v>
      </c>
      <c r="Z260" s="151"/>
    </row>
    <row r="261" spans="1:26">
      <c r="A261" s="40" t="s">
        <v>111</v>
      </c>
      <c r="C261" s="407">
        <v>5315.1349961115229</v>
      </c>
      <c r="E261" s="407">
        <f t="shared" si="81"/>
        <v>5724</v>
      </c>
      <c r="G261" s="237">
        <v>16.97</v>
      </c>
      <c r="H261" s="420"/>
      <c r="I261" s="421">
        <f t="shared" si="82"/>
        <v>90198</v>
      </c>
      <c r="K261" s="421">
        <f t="shared" si="83"/>
        <v>97136</v>
      </c>
      <c r="M261" s="41">
        <f t="shared" si="74"/>
        <v>17.13</v>
      </c>
      <c r="N261" s="42"/>
      <c r="O261" s="28">
        <f t="shared" si="84"/>
        <v>98052</v>
      </c>
      <c r="Q261" s="83">
        <f t="shared" si="75"/>
        <v>-6.4000000000000003E-3</v>
      </c>
      <c r="R261" s="42"/>
      <c r="S261" s="28">
        <f t="shared" si="85"/>
        <v>-436.69405808219182</v>
      </c>
      <c r="T261" s="28"/>
      <c r="U261" s="43"/>
      <c r="V261" s="43"/>
      <c r="W261" s="112"/>
      <c r="X261" s="45">
        <f t="shared" si="86"/>
        <v>9.4284030642310945E-3</v>
      </c>
      <c r="Z261" s="151"/>
    </row>
    <row r="262" spans="1:26">
      <c r="A262" s="40" t="s">
        <v>113</v>
      </c>
      <c r="C262" s="407">
        <v>1240.6016657705959</v>
      </c>
      <c r="E262" s="407">
        <f t="shared" si="81"/>
        <v>1336</v>
      </c>
      <c r="G262" s="237">
        <v>23.29</v>
      </c>
      <c r="H262" s="420"/>
      <c r="I262" s="421">
        <f t="shared" si="82"/>
        <v>28894</v>
      </c>
      <c r="K262" s="421">
        <f t="shared" si="83"/>
        <v>31115</v>
      </c>
      <c r="M262" s="41">
        <f t="shared" si="74"/>
        <v>23.51</v>
      </c>
      <c r="N262" s="42"/>
      <c r="O262" s="28">
        <f t="shared" si="84"/>
        <v>31409</v>
      </c>
      <c r="Q262" s="83">
        <f t="shared" si="75"/>
        <v>-6.4000000000000003E-3</v>
      </c>
      <c r="R262" s="42"/>
      <c r="S262" s="28">
        <f t="shared" si="85"/>
        <v>-139.88622027397261</v>
      </c>
      <c r="U262" s="43"/>
      <c r="V262" s="43"/>
      <c r="W262" s="112"/>
      <c r="X262" s="45">
        <f t="shared" si="86"/>
        <v>9.4461142121082808E-3</v>
      </c>
      <c r="Z262" s="151"/>
    </row>
    <row r="263" spans="1:26">
      <c r="A263" s="40" t="s">
        <v>114</v>
      </c>
      <c r="C263" s="407">
        <v>1706.9352219501366</v>
      </c>
      <c r="E263" s="407">
        <f t="shared" si="81"/>
        <v>1838</v>
      </c>
      <c r="G263" s="237">
        <v>21.03</v>
      </c>
      <c r="H263" s="420"/>
      <c r="I263" s="421">
        <f t="shared" si="82"/>
        <v>35897</v>
      </c>
      <c r="K263" s="421">
        <f t="shared" si="83"/>
        <v>38653</v>
      </c>
      <c r="M263" s="41">
        <f t="shared" si="74"/>
        <v>21.23</v>
      </c>
      <c r="N263" s="42"/>
      <c r="O263" s="28">
        <f t="shared" si="84"/>
        <v>39021</v>
      </c>
      <c r="Q263" s="83">
        <f t="shared" si="75"/>
        <v>-6.4000000000000003E-3</v>
      </c>
      <c r="R263" s="42"/>
      <c r="S263" s="28">
        <f t="shared" si="85"/>
        <v>-173.78777424657534</v>
      </c>
      <c r="T263" s="28"/>
      <c r="U263" s="43"/>
      <c r="V263" s="43"/>
      <c r="W263" s="112"/>
      <c r="X263" s="45">
        <f t="shared" si="86"/>
        <v>9.51022349025199E-3</v>
      </c>
      <c r="Z263" s="151"/>
    </row>
    <row r="264" spans="1:26">
      <c r="A264" s="40" t="s">
        <v>115</v>
      </c>
      <c r="C264" s="407">
        <v>10454.899176968655</v>
      </c>
      <c r="E264" s="407">
        <f t="shared" si="81"/>
        <v>11260</v>
      </c>
      <c r="G264" s="237">
        <v>28.04</v>
      </c>
      <c r="H264" s="420"/>
      <c r="I264" s="421">
        <f t="shared" si="82"/>
        <v>293155</v>
      </c>
      <c r="K264" s="421">
        <f t="shared" si="83"/>
        <v>315730</v>
      </c>
      <c r="M264" s="41">
        <f t="shared" si="74"/>
        <v>28.3</v>
      </c>
      <c r="N264" s="42"/>
      <c r="O264" s="28">
        <f t="shared" si="84"/>
        <v>318658</v>
      </c>
      <c r="Q264" s="83">
        <f t="shared" si="75"/>
        <v>-6.4000000000000003E-3</v>
      </c>
      <c r="R264" s="42"/>
      <c r="S264" s="28">
        <f t="shared" si="85"/>
        <v>-1419.2066980821917</v>
      </c>
      <c r="T264" s="28"/>
      <c r="V264" s="16"/>
      <c r="W264" s="112"/>
      <c r="X264" s="45">
        <f t="shared" si="86"/>
        <v>9.2724679029958512E-3</v>
      </c>
      <c r="Z264" s="151"/>
    </row>
    <row r="265" spans="1:26">
      <c r="A265" s="40" t="s">
        <v>116</v>
      </c>
      <c r="C265" s="407">
        <v>12133.270899462399</v>
      </c>
      <c r="E265" s="407">
        <f t="shared" si="81"/>
        <v>13068</v>
      </c>
      <c r="G265" s="237">
        <v>25.75</v>
      </c>
      <c r="H265" s="420"/>
      <c r="I265" s="421">
        <f t="shared" si="82"/>
        <v>312432</v>
      </c>
      <c r="K265" s="421">
        <f t="shared" si="83"/>
        <v>336501</v>
      </c>
      <c r="M265" s="41">
        <f t="shared" si="74"/>
        <v>25.99</v>
      </c>
      <c r="N265" s="42"/>
      <c r="O265" s="28">
        <f t="shared" si="84"/>
        <v>339637</v>
      </c>
      <c r="Q265" s="83">
        <f t="shared" si="75"/>
        <v>-6.4000000000000003E-3</v>
      </c>
      <c r="R265" s="42"/>
      <c r="S265" s="28">
        <f t="shared" si="85"/>
        <v>-1512.6408416438358</v>
      </c>
      <c r="T265" s="28"/>
      <c r="U265" s="43"/>
      <c r="V265" s="43"/>
      <c r="W265" s="112"/>
      <c r="X265" s="45">
        <f t="shared" si="86"/>
        <v>9.3203883495145412E-3</v>
      </c>
      <c r="Z265" s="151"/>
    </row>
    <row r="266" spans="1:26">
      <c r="A266" s="158" t="s">
        <v>118</v>
      </c>
      <c r="C266" s="407"/>
      <c r="E266" s="407"/>
      <c r="M266" s="15"/>
      <c r="Q266" s="141"/>
      <c r="T266" s="28"/>
      <c r="U266" s="43"/>
      <c r="V266" s="43"/>
      <c r="W266" s="112"/>
      <c r="X266" s="112"/>
      <c r="Z266" s="151"/>
    </row>
    <row r="267" spans="1:26">
      <c r="A267" s="40" t="s">
        <v>119</v>
      </c>
      <c r="C267" s="407">
        <v>0</v>
      </c>
      <c r="E267" s="407">
        <f t="shared" ref="E267:E274" si="87">ROUND(C267*$E$276/$C$276,0)</f>
        <v>0</v>
      </c>
      <c r="G267" s="237">
        <v>29.13</v>
      </c>
      <c r="H267" s="420"/>
      <c r="I267" s="421">
        <f t="shared" ref="I267:I274" si="88">ROUND(G267*$C267,0)</f>
        <v>0</v>
      </c>
      <c r="K267" s="421">
        <f t="shared" ref="K267:K274" si="89">ROUND(G267*$E267,0)</f>
        <v>0</v>
      </c>
      <c r="M267" s="41">
        <f t="shared" si="74"/>
        <v>29.4</v>
      </c>
      <c r="N267" s="42"/>
      <c r="O267" s="28">
        <f t="shared" ref="O267:O274" si="90">ROUND(M267*$E267,0)</f>
        <v>0</v>
      </c>
      <c r="Q267" s="83">
        <f t="shared" si="75"/>
        <v>-6.4000000000000003E-3</v>
      </c>
      <c r="R267" s="42"/>
      <c r="S267" s="28">
        <f t="shared" ref="S267:S274" si="91">O267*Q267*254/365</f>
        <v>0</v>
      </c>
      <c r="T267" s="28"/>
      <c r="U267" s="43"/>
      <c r="V267" s="43"/>
      <c r="X267" s="45">
        <f t="shared" ref="X267:X274" si="92">M267/G267-1</f>
        <v>9.2687950566425759E-3</v>
      </c>
      <c r="Z267" s="151"/>
    </row>
    <row r="268" spans="1:26">
      <c r="A268" s="40" t="s">
        <v>120</v>
      </c>
      <c r="C268" s="407">
        <v>251.999505776706</v>
      </c>
      <c r="E268" s="407">
        <f t="shared" si="87"/>
        <v>271</v>
      </c>
      <c r="G268" s="237">
        <v>21.59</v>
      </c>
      <c r="H268" s="420"/>
      <c r="I268" s="421">
        <f t="shared" si="88"/>
        <v>5441</v>
      </c>
      <c r="K268" s="421">
        <f t="shared" si="89"/>
        <v>5851</v>
      </c>
      <c r="M268" s="41">
        <f t="shared" si="74"/>
        <v>21.79</v>
      </c>
      <c r="N268" s="42"/>
      <c r="O268" s="28">
        <f t="shared" si="90"/>
        <v>5905</v>
      </c>
      <c r="Q268" s="83">
        <f t="shared" si="75"/>
        <v>-6.4000000000000003E-3</v>
      </c>
      <c r="R268" s="42"/>
      <c r="S268" s="28">
        <f t="shared" si="91"/>
        <v>-26.299090410958904</v>
      </c>
      <c r="T268" s="28"/>
      <c r="U268" s="43"/>
      <c r="V268" s="43"/>
      <c r="X268" s="45">
        <f t="shared" si="92"/>
        <v>9.263547938860528E-3</v>
      </c>
      <c r="Z268" s="151"/>
    </row>
    <row r="269" spans="1:26">
      <c r="A269" s="40" t="s">
        <v>121</v>
      </c>
      <c r="C269" s="407">
        <v>107.86651470174219</v>
      </c>
      <c r="E269" s="407">
        <f t="shared" si="87"/>
        <v>116</v>
      </c>
      <c r="G269" s="237">
        <v>34.020000000000003</v>
      </c>
      <c r="H269" s="420"/>
      <c r="I269" s="421">
        <f t="shared" si="88"/>
        <v>3670</v>
      </c>
      <c r="K269" s="421">
        <f t="shared" si="89"/>
        <v>3946</v>
      </c>
      <c r="M269" s="41">
        <f t="shared" si="74"/>
        <v>34.340000000000003</v>
      </c>
      <c r="N269" s="42"/>
      <c r="O269" s="28">
        <f t="shared" si="90"/>
        <v>3983</v>
      </c>
      <c r="Q269" s="83">
        <f t="shared" si="75"/>
        <v>-6.4000000000000003E-3</v>
      </c>
      <c r="R269" s="42"/>
      <c r="S269" s="28">
        <f t="shared" si="91"/>
        <v>-17.739081643835618</v>
      </c>
      <c r="T269" s="28"/>
      <c r="U269" s="43"/>
      <c r="V269" s="43"/>
      <c r="X269" s="45">
        <f t="shared" si="92"/>
        <v>9.4062316284537761E-3</v>
      </c>
      <c r="Z269" s="151"/>
    </row>
    <row r="270" spans="1:26">
      <c r="A270" s="40" t="s">
        <v>122</v>
      </c>
      <c r="C270" s="407">
        <v>95.999810134933796</v>
      </c>
      <c r="E270" s="407">
        <f t="shared" si="87"/>
        <v>103</v>
      </c>
      <c r="G270" s="237">
        <v>27.18</v>
      </c>
      <c r="H270" s="420"/>
      <c r="I270" s="421">
        <f t="shared" si="88"/>
        <v>2609</v>
      </c>
      <c r="K270" s="421">
        <f t="shared" si="89"/>
        <v>2800</v>
      </c>
      <c r="M270" s="41">
        <f t="shared" si="74"/>
        <v>27.43</v>
      </c>
      <c r="N270" s="42"/>
      <c r="O270" s="28">
        <f t="shared" si="90"/>
        <v>2825</v>
      </c>
      <c r="Q270" s="83">
        <f t="shared" si="75"/>
        <v>-6.4000000000000003E-3</v>
      </c>
      <c r="R270" s="42"/>
      <c r="S270" s="28">
        <f t="shared" si="91"/>
        <v>-12.581698630136987</v>
      </c>
      <c r="T270" s="28"/>
      <c r="U270" s="43"/>
      <c r="V270" s="43"/>
      <c r="W270" s="52" t="s">
        <v>4</v>
      </c>
      <c r="X270" s="45">
        <f t="shared" si="92"/>
        <v>9.1979396615158304E-3</v>
      </c>
      <c r="Z270" s="151"/>
    </row>
    <row r="271" spans="1:26" s="86" customFormat="1">
      <c r="A271" s="40" t="s">
        <v>123</v>
      </c>
      <c r="B271" s="16"/>
      <c r="C271" s="407">
        <v>432</v>
      </c>
      <c r="D271" s="408"/>
      <c r="E271" s="407">
        <f t="shared" si="87"/>
        <v>465</v>
      </c>
      <c r="F271" s="408"/>
      <c r="G271" s="237">
        <v>36.35</v>
      </c>
      <c r="H271" s="420"/>
      <c r="I271" s="421">
        <f t="shared" si="88"/>
        <v>15703</v>
      </c>
      <c r="J271" s="408"/>
      <c r="K271" s="421">
        <f t="shared" si="89"/>
        <v>16903</v>
      </c>
      <c r="L271" s="17"/>
      <c r="M271" s="41">
        <f t="shared" si="74"/>
        <v>36.69</v>
      </c>
      <c r="N271" s="42"/>
      <c r="O271" s="28">
        <f t="shared" si="90"/>
        <v>17061</v>
      </c>
      <c r="P271" s="17"/>
      <c r="Q271" s="83">
        <f t="shared" si="75"/>
        <v>-6.4000000000000003E-3</v>
      </c>
      <c r="R271" s="42"/>
      <c r="S271" s="28">
        <f t="shared" si="91"/>
        <v>-75.984552328767137</v>
      </c>
      <c r="T271" s="159"/>
      <c r="U271" s="55" t="s">
        <v>20</v>
      </c>
      <c r="V271" s="56">
        <f>O279</f>
        <v>3392529</v>
      </c>
      <c r="W271" s="57">
        <f>S279+S484+S577</f>
        <v>-61462.644427397259</v>
      </c>
      <c r="X271" s="45">
        <f t="shared" si="92"/>
        <v>9.353507565336816E-3</v>
      </c>
      <c r="Z271" s="11"/>
    </row>
    <row r="272" spans="1:26">
      <c r="A272" s="40" t="s">
        <v>124</v>
      </c>
      <c r="C272" s="407">
        <v>550.33291026519885</v>
      </c>
      <c r="E272" s="407">
        <f t="shared" si="87"/>
        <v>593</v>
      </c>
      <c r="G272" s="237">
        <v>29.44</v>
      </c>
      <c r="H272" s="420"/>
      <c r="I272" s="421">
        <f t="shared" si="88"/>
        <v>16202</v>
      </c>
      <c r="K272" s="421">
        <f t="shared" si="89"/>
        <v>17458</v>
      </c>
      <c r="M272" s="41">
        <f t="shared" si="74"/>
        <v>29.72</v>
      </c>
      <c r="N272" s="42"/>
      <c r="O272" s="28">
        <f t="shared" si="90"/>
        <v>17624</v>
      </c>
      <c r="Q272" s="83">
        <f t="shared" si="75"/>
        <v>-6.4000000000000003E-3</v>
      </c>
      <c r="R272" s="42"/>
      <c r="S272" s="28">
        <f t="shared" si="91"/>
        <v>-78.491984657534246</v>
      </c>
      <c r="T272" s="159"/>
      <c r="U272" s="60" t="s">
        <v>22</v>
      </c>
      <c r="V272" s="57">
        <v>3392835.5858999998</v>
      </c>
      <c r="W272" s="57">
        <f>Stipulation!H10*1000</f>
        <v>-61911.754900728163</v>
      </c>
      <c r="X272" s="45">
        <f t="shared" si="92"/>
        <v>9.5108695652172948E-3</v>
      </c>
      <c r="Y272" s="86"/>
    </row>
    <row r="273" spans="1:26">
      <c r="A273" s="40" t="s">
        <v>125</v>
      </c>
      <c r="C273" s="407">
        <v>24</v>
      </c>
      <c r="E273" s="407">
        <f t="shared" si="87"/>
        <v>26</v>
      </c>
      <c r="G273" s="237">
        <v>57.05</v>
      </c>
      <c r="H273" s="420"/>
      <c r="I273" s="421">
        <f t="shared" si="88"/>
        <v>1369</v>
      </c>
      <c r="K273" s="421">
        <f t="shared" si="89"/>
        <v>1483</v>
      </c>
      <c r="M273" s="41">
        <f t="shared" si="74"/>
        <v>57.58</v>
      </c>
      <c r="N273" s="42"/>
      <c r="O273" s="28">
        <f t="shared" si="90"/>
        <v>1497</v>
      </c>
      <c r="Q273" s="83">
        <f t="shared" si="75"/>
        <v>-6.4000000000000003E-3</v>
      </c>
      <c r="R273" s="42"/>
      <c r="S273" s="28">
        <f t="shared" si="91"/>
        <v>-6.667186849315069</v>
      </c>
      <c r="T273" s="160"/>
      <c r="U273" s="64" t="s">
        <v>24</v>
      </c>
      <c r="V273" s="65">
        <f>V272-V271</f>
        <v>306.58589999983087</v>
      </c>
      <c r="W273" s="65">
        <f>W272-W271</f>
        <v>-449.11047333090391</v>
      </c>
      <c r="X273" s="45">
        <f t="shared" si="92"/>
        <v>9.2900964066608971E-3</v>
      </c>
      <c r="Y273"/>
      <c r="Z273" s="161"/>
    </row>
    <row r="274" spans="1:26">
      <c r="A274" s="40" t="s">
        <v>126</v>
      </c>
      <c r="C274" s="407">
        <v>108.000030471062</v>
      </c>
      <c r="E274" s="407">
        <f t="shared" si="87"/>
        <v>116</v>
      </c>
      <c r="G274" s="237">
        <v>48.64</v>
      </c>
      <c r="H274" s="420"/>
      <c r="I274" s="421">
        <f t="shared" si="88"/>
        <v>5253</v>
      </c>
      <c r="K274" s="421">
        <f t="shared" si="89"/>
        <v>5642</v>
      </c>
      <c r="M274" s="41">
        <f t="shared" si="74"/>
        <v>49.1</v>
      </c>
      <c r="N274" s="42"/>
      <c r="O274" s="28">
        <f t="shared" si="90"/>
        <v>5696</v>
      </c>
      <c r="Q274" s="83">
        <f t="shared" si="75"/>
        <v>-6.4000000000000003E-3</v>
      </c>
      <c r="R274" s="42"/>
      <c r="S274" s="28">
        <f t="shared" si="91"/>
        <v>-25.368267397260276</v>
      </c>
      <c r="U274" s="69" t="s">
        <v>26</v>
      </c>
      <c r="V274" s="139">
        <f>V271/K279-1</f>
        <v>9.2835442224552533E-3</v>
      </c>
      <c r="W274" s="39"/>
      <c r="X274" s="45">
        <f t="shared" si="92"/>
        <v>9.4572368421053099E-3</v>
      </c>
      <c r="Y274"/>
    </row>
    <row r="275" spans="1:26">
      <c r="A275" s="40" t="s">
        <v>127</v>
      </c>
      <c r="B275" s="27"/>
      <c r="C275" s="407">
        <f>SUM(C243:C274)</f>
        <v>167637.31359293099</v>
      </c>
      <c r="E275" s="407">
        <f>SUM(E243:E274)</f>
        <v>180545</v>
      </c>
      <c r="I275" s="421">
        <f>SUM(I243:I274)</f>
        <v>3121016</v>
      </c>
      <c r="K275" s="421">
        <f>SUM(K243:K274)</f>
        <v>3361324</v>
      </c>
      <c r="L275" s="85"/>
      <c r="M275" s="15"/>
      <c r="N275" s="85"/>
      <c r="O275" s="159">
        <f>SUM(O243:O274)</f>
        <v>3392529</v>
      </c>
      <c r="P275" s="85"/>
      <c r="Q275" s="141"/>
      <c r="R275" s="85"/>
      <c r="S275" s="159">
        <f>SUM(S243:S274)</f>
        <v>-15109.301759999998</v>
      </c>
      <c r="T275" s="159"/>
      <c r="U275" s="91" t="s">
        <v>28</v>
      </c>
      <c r="V275" s="146">
        <f>V272/K279-1</f>
        <v>9.3747540849973277E-3</v>
      </c>
      <c r="W275" s="49">
        <f>ROUND(W272/SUM(O275,O480,O574)*365/254,4)</f>
        <v>-6.4000000000000003E-3</v>
      </c>
      <c r="Y275" s="86"/>
      <c r="Z275"/>
    </row>
    <row r="276" spans="1:26">
      <c r="A276" s="40" t="s">
        <v>128</v>
      </c>
      <c r="C276" s="419">
        <v>13087131.114760321</v>
      </c>
      <c r="E276" s="419">
        <v>14094877.493246233</v>
      </c>
      <c r="I276" s="421"/>
      <c r="K276" s="421"/>
      <c r="M276" s="15"/>
      <c r="O276" s="159"/>
      <c r="Q276" s="141"/>
      <c r="S276" s="159"/>
      <c r="T276" s="79"/>
      <c r="U276" s="162" t="s">
        <v>48</v>
      </c>
      <c r="V276" s="163">
        <f>(O279+O280)/(K279+K280)-1</f>
        <v>-9.0362734131321787E-5</v>
      </c>
      <c r="Z276"/>
    </row>
    <row r="277" spans="1:26">
      <c r="A277" s="40" t="s">
        <v>129</v>
      </c>
      <c r="C277" s="448">
        <v>53475</v>
      </c>
      <c r="E277" s="448">
        <v>0</v>
      </c>
      <c r="G277" s="449"/>
      <c r="I277" s="450">
        <v>17684</v>
      </c>
      <c r="K277" s="450">
        <v>0</v>
      </c>
      <c r="M277" s="164"/>
      <c r="O277" s="165">
        <v>0</v>
      </c>
      <c r="Q277" s="166"/>
      <c r="S277" s="165"/>
      <c r="T277" s="79"/>
      <c r="U277" s="27" t="s">
        <v>130</v>
      </c>
      <c r="V277" s="139">
        <f>K280/K279</f>
        <v>9.3747540849974578E-3</v>
      </c>
      <c r="X277" s="167"/>
      <c r="Y277" s="167"/>
      <c r="Z277"/>
    </row>
    <row r="278" spans="1:26">
      <c r="A278" s="40" t="s">
        <v>131</v>
      </c>
      <c r="C278" s="407">
        <v>8201.7499999999964</v>
      </c>
      <c r="E278" s="407">
        <v>7995.3333333333312</v>
      </c>
      <c r="M278" s="15"/>
      <c r="Q278" s="141"/>
      <c r="W278" s="117"/>
    </row>
    <row r="279" spans="1:26" ht="16.5" thickBot="1">
      <c r="A279" s="40" t="s">
        <v>132</v>
      </c>
      <c r="C279" s="451">
        <f>C276+C277</f>
        <v>13140606.114760321</v>
      </c>
      <c r="E279" s="451">
        <f>E276+E277</f>
        <v>14094877.493246233</v>
      </c>
      <c r="G279" s="431"/>
      <c r="I279" s="432">
        <f>I277+I275</f>
        <v>3138700</v>
      </c>
      <c r="K279" s="432">
        <f>K277+K275</f>
        <v>3361324</v>
      </c>
      <c r="M279" s="93"/>
      <c r="O279" s="168">
        <f>O277+O275</f>
        <v>3392529</v>
      </c>
      <c r="Q279" s="169"/>
      <c r="S279" s="168">
        <f>S277+S275</f>
        <v>-15109.301759999998</v>
      </c>
      <c r="W279" s="117"/>
    </row>
    <row r="280" spans="1:26" ht="16.5" thickTop="1">
      <c r="A280" s="40" t="s">
        <v>45</v>
      </c>
      <c r="C280" s="407"/>
      <c r="E280" s="407"/>
      <c r="G280" s="433"/>
      <c r="H280" s="434"/>
      <c r="I280" s="429">
        <v>31511.585899999995</v>
      </c>
      <c r="K280" s="429">
        <f>I280</f>
        <v>31511.585899999995</v>
      </c>
      <c r="M280" s="36"/>
      <c r="N280" s="99"/>
      <c r="O280" s="89">
        <v>0</v>
      </c>
      <c r="Q280" s="36"/>
      <c r="R280" s="99"/>
      <c r="S280" s="89"/>
      <c r="T280" s="28"/>
      <c r="W280" s="117"/>
      <c r="X280" s="117"/>
      <c r="Y280" s="28"/>
    </row>
    <row r="281" spans="1:26">
      <c r="A281" s="40" t="s">
        <v>46</v>
      </c>
      <c r="C281" s="407"/>
      <c r="E281" s="407"/>
      <c r="G281" s="433">
        <f>M281</f>
        <v>3.6999999999999998E-2</v>
      </c>
      <c r="H281" s="434"/>
      <c r="I281" s="429">
        <f>ROUND(SUM(I275,I280)*G281,0)</f>
        <v>116644</v>
      </c>
      <c r="K281" s="429">
        <f>ROUND(SUM(K275,K280)*G281,0)</f>
        <v>125535</v>
      </c>
      <c r="M281" s="36">
        <v>3.6999999999999998E-2</v>
      </c>
      <c r="N281" s="99"/>
      <c r="O281" s="89">
        <f>ROUND(SUM(O275,O280)*M281,0)</f>
        <v>125524</v>
      </c>
      <c r="Q281" s="36"/>
      <c r="R281" s="99"/>
      <c r="S281" s="89"/>
      <c r="T281" s="28"/>
      <c r="W281" s="117"/>
      <c r="X281" s="117"/>
      <c r="Y281" s="28"/>
    </row>
    <row r="282" spans="1:26">
      <c r="C282" s="407"/>
      <c r="E282" s="407"/>
      <c r="T282" s="28"/>
      <c r="W282" s="117"/>
      <c r="X282" s="117"/>
      <c r="Y282" s="28"/>
      <c r="Z282" s="120"/>
    </row>
    <row r="283" spans="1:26">
      <c r="A283" s="37" t="s">
        <v>133</v>
      </c>
      <c r="C283" s="407"/>
      <c r="E283" s="407"/>
      <c r="T283" s="28"/>
      <c r="W283" s="117"/>
      <c r="X283" s="117"/>
      <c r="Y283" s="28"/>
      <c r="Z283" s="120"/>
    </row>
    <row r="284" spans="1:26">
      <c r="A284" s="40" t="s">
        <v>13</v>
      </c>
      <c r="C284" s="407">
        <f t="shared" ref="C284:C293" si="93">C298+C312</f>
        <v>3262.1957494949538</v>
      </c>
      <c r="E284" s="407">
        <f t="shared" ref="E284:E293" si="94">E298+E312</f>
        <v>3538</v>
      </c>
      <c r="G284" s="237">
        <v>55</v>
      </c>
      <c r="H284" s="420"/>
      <c r="I284" s="421">
        <f>ROUND($G284*C284,0)</f>
        <v>179421</v>
      </c>
      <c r="K284" s="421">
        <f>ROUND($G284*E284,0)</f>
        <v>194590</v>
      </c>
      <c r="M284" s="237">
        <f>ROUND(G284*(1+V289),0)</f>
        <v>62</v>
      </c>
      <c r="N284" s="100"/>
      <c r="O284" s="28">
        <f>ROUND(M284*$E284,0)</f>
        <v>219356</v>
      </c>
      <c r="Q284" s="44"/>
      <c r="R284" s="100"/>
      <c r="S284" s="28"/>
      <c r="T284" s="28"/>
      <c r="U284" s="101"/>
      <c r="W284" s="52" t="s">
        <v>134</v>
      </c>
      <c r="X284" s="45">
        <f t="shared" ref="X284:X291" si="95">M284/G284-1</f>
        <v>0.1272727272727272</v>
      </c>
      <c r="Y284" s="28"/>
      <c r="Z284" s="120"/>
    </row>
    <row r="285" spans="1:26">
      <c r="A285" s="40" t="s">
        <v>135</v>
      </c>
      <c r="C285" s="407">
        <f t="shared" si="93"/>
        <v>4537564.8704159819</v>
      </c>
      <c r="E285" s="407">
        <f t="shared" si="94"/>
        <v>5046329</v>
      </c>
      <c r="G285" s="237">
        <v>3.77</v>
      </c>
      <c r="H285" s="420"/>
      <c r="I285" s="421">
        <f>ROUND($G285*C285,0)</f>
        <v>17106620</v>
      </c>
      <c r="K285" s="421">
        <f>ROUND($G285*E285,0)</f>
        <v>19024660</v>
      </c>
      <c r="M285" s="41">
        <f>ROUND(G285*(1+$V$290),2)</f>
        <v>4.22</v>
      </c>
      <c r="N285" s="100"/>
      <c r="O285" s="28">
        <f>ROUND(M285*$E285,0)</f>
        <v>21295508</v>
      </c>
      <c r="Q285" s="44"/>
      <c r="R285" s="100"/>
      <c r="S285" s="28"/>
      <c r="T285" s="28"/>
      <c r="U285" s="55" t="s">
        <v>20</v>
      </c>
      <c r="V285" s="56">
        <f>O293</f>
        <v>149016296</v>
      </c>
      <c r="W285" s="57">
        <f>S293+SUM(S715:S720)</f>
        <v>-3002786.1255495888</v>
      </c>
      <c r="X285" s="45">
        <f t="shared" si="95"/>
        <v>0.11936339522546402</v>
      </c>
      <c r="Y285" s="28"/>
      <c r="Z285" s="120"/>
    </row>
    <row r="286" spans="1:26">
      <c r="A286" s="40" t="s">
        <v>136</v>
      </c>
      <c r="C286" s="407">
        <f t="shared" si="93"/>
        <v>1898533.804019745</v>
      </c>
      <c r="E286" s="407">
        <f t="shared" si="94"/>
        <v>2114813</v>
      </c>
      <c r="G286" s="237">
        <v>12.33</v>
      </c>
      <c r="H286" s="420"/>
      <c r="I286" s="421">
        <f>ROUND($G286*C286,0)</f>
        <v>23408922</v>
      </c>
      <c r="K286" s="421">
        <f>ROUND($G286*E286,0)</f>
        <v>26075644</v>
      </c>
      <c r="M286" s="41">
        <f>ROUND(G286*(1+$V$290),2)</f>
        <v>13.81</v>
      </c>
      <c r="N286" s="42"/>
      <c r="O286" s="28">
        <f>ROUND(M286*$E286,0)</f>
        <v>29205568</v>
      </c>
      <c r="Q286" s="83">
        <f t="shared" ref="Q286:Q291" si="96">$W$289</f>
        <v>-3.32E-2</v>
      </c>
      <c r="R286" s="42"/>
      <c r="S286" s="28">
        <f t="shared" ref="S286:S287" si="97">O286*Q286*254/365</f>
        <v>-674752.64063123288</v>
      </c>
      <c r="T286" s="28"/>
      <c r="U286" s="60" t="s">
        <v>22</v>
      </c>
      <c r="V286" s="57">
        <f>(Stipulation!C9+Stipulation!E9)*1000</f>
        <v>149016408.16555414</v>
      </c>
      <c r="W286" s="57">
        <f>(Stipulation!H9+Stipulation!H17*SUM(Blocking!O715:O716,Blocking!O718:O720)/SUM(Blocking!O715:O716,Blocking!O718:O720,Blocking!O776:O780))*1000</f>
        <v>-3004678.2892064573</v>
      </c>
      <c r="X286" s="45">
        <f t="shared" si="95"/>
        <v>0.12003244120032441</v>
      </c>
      <c r="Z286" s="120"/>
    </row>
    <row r="287" spans="1:26">
      <c r="A287" s="40" t="s">
        <v>137</v>
      </c>
      <c r="C287" s="407">
        <f t="shared" si="93"/>
        <v>2525177.0413793074</v>
      </c>
      <c r="E287" s="407">
        <f t="shared" si="94"/>
        <v>2805841</v>
      </c>
      <c r="G287" s="237">
        <v>8.8800000000000008</v>
      </c>
      <c r="H287" s="420"/>
      <c r="I287" s="421">
        <f>ROUND($G287*C287,0)</f>
        <v>22423572</v>
      </c>
      <c r="K287" s="421">
        <f>ROUND($G287*E287,0)</f>
        <v>24915868</v>
      </c>
      <c r="M287" s="41">
        <f>ROUND(G287*(1+$V$290),2)</f>
        <v>9.94</v>
      </c>
      <c r="N287" s="42"/>
      <c r="O287" s="28">
        <f>ROUND(M287*$E287,0)</f>
        <v>27890060</v>
      </c>
      <c r="Q287" s="83">
        <f t="shared" si="96"/>
        <v>-3.32E-2</v>
      </c>
      <c r="R287" s="42"/>
      <c r="S287" s="28">
        <f t="shared" si="97"/>
        <v>-644359.72046027391</v>
      </c>
      <c r="T287" s="28"/>
      <c r="U287" s="64" t="s">
        <v>24</v>
      </c>
      <c r="V287" s="65">
        <f>V286-V285</f>
        <v>112.16555413603783</v>
      </c>
      <c r="W287" s="65">
        <f>W286-W285</f>
        <v>-1892.1636568685062</v>
      </c>
      <c r="X287" s="45">
        <f t="shared" si="95"/>
        <v>0.11936936936936915</v>
      </c>
      <c r="Z287" s="120"/>
    </row>
    <row r="288" spans="1:26">
      <c r="A288" s="40" t="s">
        <v>64</v>
      </c>
      <c r="C288" s="407">
        <f t="shared" si="93"/>
        <v>1797636.2906458012</v>
      </c>
      <c r="E288" s="407">
        <f t="shared" si="94"/>
        <v>1990234</v>
      </c>
      <c r="G288" s="237">
        <v>-0.9</v>
      </c>
      <c r="H288" s="420"/>
      <c r="I288" s="421">
        <f>ROUND($G288*C288,0)</f>
        <v>-1617873</v>
      </c>
      <c r="K288" s="421">
        <f>ROUND($G288*E288,0)</f>
        <v>-1791211</v>
      </c>
      <c r="M288" s="41">
        <f>ROUND(G288*(1+$V$290),2)</f>
        <v>-1.01</v>
      </c>
      <c r="N288" s="42"/>
      <c r="O288" s="28">
        <f>ROUND(M288*$E288,0)</f>
        <v>-2010136</v>
      </c>
      <c r="Q288" s="83"/>
      <c r="R288" s="42"/>
      <c r="S288" s="28"/>
      <c r="T288" s="79"/>
      <c r="U288" s="69" t="s">
        <v>26</v>
      </c>
      <c r="V288" s="139">
        <f>V285/K293-1</f>
        <v>0.119726050882482</v>
      </c>
      <c r="W288" s="39"/>
      <c r="X288" s="45">
        <f t="shared" si="95"/>
        <v>0.12222222222222223</v>
      </c>
    </row>
    <row r="289" spans="1:26">
      <c r="A289" s="40" t="s">
        <v>53</v>
      </c>
      <c r="C289" s="407">
        <f t="shared" si="93"/>
        <v>235060108</v>
      </c>
      <c r="E289" s="407">
        <f t="shared" si="94"/>
        <v>263346088</v>
      </c>
      <c r="G289" s="452">
        <v>4.0021000000000004</v>
      </c>
      <c r="H289" s="424" t="s">
        <v>17</v>
      </c>
      <c r="I289" s="421">
        <f>ROUND($G289*C289/100,0)</f>
        <v>9407341</v>
      </c>
      <c r="K289" s="421">
        <f>ROUND($G289*E289/100,0)</f>
        <v>10539374</v>
      </c>
      <c r="M289" s="170">
        <f>ROUND(G289*(1+$V$290),4)</f>
        <v>4.4812000000000003</v>
      </c>
      <c r="N289" s="48" t="s">
        <v>17</v>
      </c>
      <c r="O289" s="28">
        <f>ROUND(M289*$E289/100,0)</f>
        <v>11801065</v>
      </c>
      <c r="Q289" s="83">
        <f t="shared" si="96"/>
        <v>-3.32E-2</v>
      </c>
      <c r="R289" s="42"/>
      <c r="S289" s="28">
        <f t="shared" ref="S289:S291" si="98">O289*Q289*254/365</f>
        <v>-272646.63269041094</v>
      </c>
      <c r="T289" s="79"/>
      <c r="U289" s="74" t="s">
        <v>28</v>
      </c>
      <c r="V289" s="140">
        <f>V286/K293-1</f>
        <v>0.11972689370770562</v>
      </c>
      <c r="W289" s="49">
        <f>ROUND(W286/SUM(O286:O287,O289:O291,O715:O716,O718:O720)*365/254,4)</f>
        <v>-3.32E-2</v>
      </c>
      <c r="X289" s="45">
        <f t="shared" si="95"/>
        <v>0.11971215112066158</v>
      </c>
      <c r="Y289" s="167"/>
    </row>
    <row r="290" spans="1:26">
      <c r="A290" s="40" t="s">
        <v>92</v>
      </c>
      <c r="C290" s="407">
        <f t="shared" si="93"/>
        <v>561254789</v>
      </c>
      <c r="E290" s="407">
        <f t="shared" si="94"/>
        <v>627671327</v>
      </c>
      <c r="G290" s="452">
        <v>3.1328</v>
      </c>
      <c r="H290" s="424" t="s">
        <v>17</v>
      </c>
      <c r="I290" s="421">
        <f>ROUND($G290*C290/100,0)</f>
        <v>17582990</v>
      </c>
      <c r="K290" s="421">
        <f>ROUND($G290*E290/100,0)</f>
        <v>19663687</v>
      </c>
      <c r="M290" s="170">
        <f>ROUND(G290*(1+$V$290),4)</f>
        <v>3.5078</v>
      </c>
      <c r="N290" s="48" t="s">
        <v>17</v>
      </c>
      <c r="O290" s="28">
        <f>ROUND(M290*$E290/100,0)</f>
        <v>22017455</v>
      </c>
      <c r="Q290" s="83">
        <f t="shared" si="96"/>
        <v>-3.32E-2</v>
      </c>
      <c r="R290" s="42"/>
      <c r="S290" s="28">
        <f t="shared" si="98"/>
        <v>-508681.62883287674</v>
      </c>
      <c r="T290" s="79"/>
      <c r="U290" s="74" t="s">
        <v>80</v>
      </c>
      <c r="V290" s="140">
        <f>(V286-O284)/(K293-K284)-1</f>
        <v>0.11971584424307191</v>
      </c>
      <c r="X290" s="45">
        <f t="shared" si="95"/>
        <v>0.11970122574055164</v>
      </c>
    </row>
    <row r="291" spans="1:26">
      <c r="A291" s="40" t="s">
        <v>138</v>
      </c>
      <c r="C291" s="407">
        <f t="shared" si="93"/>
        <v>1137692487.183744</v>
      </c>
      <c r="E291" s="407">
        <f t="shared" si="94"/>
        <v>1276918663.6941051</v>
      </c>
      <c r="G291" s="452">
        <v>2.6987000000000001</v>
      </c>
      <c r="H291" s="424" t="s">
        <v>17</v>
      </c>
      <c r="I291" s="421">
        <f>ROUND($G291*C291/100,0)</f>
        <v>30702907</v>
      </c>
      <c r="K291" s="421">
        <f>ROUND($G291*E291/100,0)</f>
        <v>34460204</v>
      </c>
      <c r="M291" s="170">
        <f>ROUND((V286-SUM(O284:O290))/E291*100,4)</f>
        <v>3.0226999999999999</v>
      </c>
      <c r="N291" s="48" t="s">
        <v>17</v>
      </c>
      <c r="O291" s="28">
        <f>ROUND(M291*$E291/100,0)</f>
        <v>38597420</v>
      </c>
      <c r="Q291" s="83">
        <f t="shared" si="96"/>
        <v>-3.32E-2</v>
      </c>
      <c r="R291" s="42"/>
      <c r="S291" s="28">
        <f t="shared" si="98"/>
        <v>-891737.87226301362</v>
      </c>
      <c r="T291" s="79"/>
      <c r="U291" s="91" t="s">
        <v>32</v>
      </c>
      <c r="V291" s="171">
        <f>M284/G284-1</f>
        <v>0.1272727272727272</v>
      </c>
      <c r="X291" s="45">
        <f t="shared" si="95"/>
        <v>0.12005780561010848</v>
      </c>
      <c r="Z291" s="167"/>
    </row>
    <row r="292" spans="1:26">
      <c r="A292" s="40" t="s">
        <v>41</v>
      </c>
      <c r="C292" s="428">
        <f t="shared" si="93"/>
        <v>6245291</v>
      </c>
      <c r="E292" s="428">
        <f t="shared" si="94"/>
        <v>0</v>
      </c>
      <c r="I292" s="429">
        <f>I306+I320</f>
        <v>412208.99072499992</v>
      </c>
      <c r="K292" s="429">
        <f>K306+K320</f>
        <v>0</v>
      </c>
      <c r="M292" s="15"/>
      <c r="O292" s="89">
        <v>0</v>
      </c>
      <c r="Q292" s="141"/>
      <c r="S292" s="89"/>
      <c r="U292" s="50" t="s">
        <v>48</v>
      </c>
      <c r="V292" s="163">
        <f>(O293+O294)/(K293+K294)-1</f>
        <v>7.3011607272321033E-2</v>
      </c>
      <c r="W292" s="117"/>
    </row>
    <row r="293" spans="1:26" ht="16.5" thickBot="1">
      <c r="A293" s="40" t="s">
        <v>43</v>
      </c>
      <c r="C293" s="441">
        <f t="shared" si="93"/>
        <v>1940252675.183744</v>
      </c>
      <c r="E293" s="441">
        <f t="shared" si="94"/>
        <v>2167936078.6941051</v>
      </c>
      <c r="G293" s="439"/>
      <c r="I293" s="440">
        <f>SUM(I284:I292)</f>
        <v>119606108.990725</v>
      </c>
      <c r="K293" s="440">
        <f>SUM(K284:K292)</f>
        <v>133082816</v>
      </c>
      <c r="M293" s="113"/>
      <c r="O293" s="114">
        <f>SUM(O284:O292)</f>
        <v>149016296</v>
      </c>
      <c r="Q293" s="143"/>
      <c r="S293" s="114">
        <f>SUM(S284:S292)</f>
        <v>-2992178.4948778078</v>
      </c>
      <c r="U293" s="69"/>
      <c r="V293" s="172"/>
      <c r="W293" s="117"/>
    </row>
    <row r="294" spans="1:26" ht="16.5" thickTop="1">
      <c r="A294" s="40" t="s">
        <v>45</v>
      </c>
      <c r="C294" s="407"/>
      <c r="E294" s="407"/>
      <c r="G294" s="433"/>
      <c r="H294" s="434"/>
      <c r="I294" s="429">
        <v>5793869.9463999998</v>
      </c>
      <c r="K294" s="429">
        <f>I294</f>
        <v>5793869.9463999998</v>
      </c>
      <c r="M294" s="36"/>
      <c r="N294" s="99"/>
      <c r="O294" s="89">
        <v>0</v>
      </c>
      <c r="Q294" s="36"/>
      <c r="R294" s="99"/>
      <c r="S294" s="89"/>
      <c r="T294" s="28"/>
      <c r="U294" s="91"/>
      <c r="V294" s="173"/>
      <c r="W294" s="174"/>
      <c r="Y294" s="28"/>
    </row>
    <row r="295" spans="1:26">
      <c r="A295" s="40" t="s">
        <v>46</v>
      </c>
      <c r="C295" s="407"/>
      <c r="E295" s="407"/>
      <c r="G295" s="433">
        <f>M295</f>
        <v>3.6999999999999998E-2</v>
      </c>
      <c r="H295" s="434"/>
      <c r="I295" s="429">
        <f>ROUND(SUM(I285:I291,I294)*$G295,0)</f>
        <v>4617909</v>
      </c>
      <c r="K295" s="429">
        <f>ROUND(SUM(K285:K291,K294)*$G295,0)</f>
        <v>5131238</v>
      </c>
      <c r="M295" s="36">
        <v>3.6999999999999998E-2</v>
      </c>
      <c r="N295" s="99"/>
      <c r="O295" s="89">
        <f>ROUND(SUM(O285:O291,O294)*M295,0)</f>
        <v>5505487</v>
      </c>
      <c r="Q295" s="36"/>
      <c r="R295" s="99"/>
      <c r="S295" s="89"/>
      <c r="T295" s="28"/>
      <c r="W295" s="117"/>
      <c r="X295" s="117"/>
      <c r="Y295" s="28"/>
    </row>
    <row r="296" spans="1:26">
      <c r="T296" s="28"/>
      <c r="W296" s="117"/>
      <c r="X296" s="174"/>
      <c r="Y296" s="28"/>
      <c r="Z296" s="120"/>
    </row>
    <row r="297" spans="1:26">
      <c r="A297" s="37" t="s">
        <v>139</v>
      </c>
      <c r="T297" s="28"/>
      <c r="W297" s="117"/>
      <c r="X297" s="117"/>
      <c r="Y297" s="28"/>
      <c r="Z297" s="120"/>
    </row>
    <row r="298" spans="1:26">
      <c r="A298" s="40" t="s">
        <v>13</v>
      </c>
      <c r="C298" s="407">
        <v>1809.6983299663314</v>
      </c>
      <c r="E298" s="407">
        <v>2070</v>
      </c>
      <c r="G298" s="445">
        <v>55</v>
      </c>
      <c r="H298" s="426"/>
      <c r="I298" s="421">
        <f>ROUND($G298*C298,0)</f>
        <v>99533</v>
      </c>
      <c r="K298" s="421">
        <f>ROUND($G298*E298,0)</f>
        <v>113850</v>
      </c>
      <c r="M298" s="133">
        <f t="shared" ref="M298:M305" si="99">M284</f>
        <v>62</v>
      </c>
      <c r="N298" s="132"/>
      <c r="O298" s="28">
        <f>ROUND(M298*$E298,0)</f>
        <v>128340</v>
      </c>
      <c r="Q298" s="130"/>
      <c r="R298" s="132"/>
      <c r="S298" s="28"/>
      <c r="T298" s="28"/>
      <c r="U298" s="101"/>
      <c r="V298" s="43"/>
      <c r="X298" s="45">
        <f t="shared" ref="X298:X305" si="100">M298/G298-1</f>
        <v>0.1272727272727272</v>
      </c>
      <c r="Y298" s="28"/>
      <c r="Z298" s="120"/>
    </row>
    <row r="299" spans="1:26">
      <c r="A299" s="40" t="s">
        <v>135</v>
      </c>
      <c r="C299" s="407">
        <v>2184575.1873967242</v>
      </c>
      <c r="E299" s="407">
        <f>ROUND(C299*$E$307/$C$307,0)</f>
        <v>2645012</v>
      </c>
      <c r="G299" s="445">
        <v>3.77</v>
      </c>
      <c r="H299" s="426"/>
      <c r="I299" s="421">
        <f>ROUND($G299*C299,0)</f>
        <v>8235848</v>
      </c>
      <c r="K299" s="421">
        <f>ROUND($G299*E299,0)</f>
        <v>9971695</v>
      </c>
      <c r="M299" s="133">
        <f t="shared" si="99"/>
        <v>4.22</v>
      </c>
      <c r="N299" s="132"/>
      <c r="O299" s="28">
        <f>ROUND(M299*$E299,0)</f>
        <v>11161951</v>
      </c>
      <c r="Q299" s="130"/>
      <c r="R299" s="132"/>
      <c r="S299" s="28"/>
      <c r="T299" s="28"/>
      <c r="U299" s="101"/>
      <c r="V299" s="43"/>
      <c r="W299" s="86"/>
      <c r="X299" s="45">
        <f t="shared" si="100"/>
        <v>0.11936339522546402</v>
      </c>
      <c r="Y299" s="28"/>
      <c r="Z299" s="120"/>
    </row>
    <row r="300" spans="1:26">
      <c r="A300" s="40" t="s">
        <v>136</v>
      </c>
      <c r="C300" s="407">
        <v>931962.63560889172</v>
      </c>
      <c r="E300" s="407">
        <f>ROUND(C300*$E$307/$C$307,0)</f>
        <v>1128390</v>
      </c>
      <c r="G300" s="445">
        <v>12.33</v>
      </c>
      <c r="H300" s="426"/>
      <c r="I300" s="421">
        <f>ROUND($G300*C300,0)</f>
        <v>11491099</v>
      </c>
      <c r="K300" s="421">
        <f>ROUND($G300*E300,0)</f>
        <v>13913049</v>
      </c>
      <c r="M300" s="133">
        <f t="shared" si="99"/>
        <v>13.81</v>
      </c>
      <c r="N300" s="132"/>
      <c r="O300" s="28">
        <f>ROUND(M300*$E300,0)</f>
        <v>15583066</v>
      </c>
      <c r="Q300" s="83">
        <f t="shared" ref="Q300:Q301" si="101">$W$289</f>
        <v>-3.32E-2</v>
      </c>
      <c r="R300" s="42"/>
      <c r="S300" s="28">
        <f t="shared" ref="S300:S301" si="102">O300*Q300*254/365</f>
        <v>-360024.3259309589</v>
      </c>
      <c r="T300" s="28"/>
      <c r="U300" s="101"/>
      <c r="X300" s="45">
        <f t="shared" si="100"/>
        <v>0.12003244120032441</v>
      </c>
      <c r="Z300" s="120"/>
    </row>
    <row r="301" spans="1:26">
      <c r="A301" s="40" t="s">
        <v>137</v>
      </c>
      <c r="C301" s="407">
        <v>1202760.4149425284</v>
      </c>
      <c r="E301" s="407">
        <f>ROUND(C301*$E$307/$C$307,0)</f>
        <v>1456263</v>
      </c>
      <c r="G301" s="445">
        <v>8.8800000000000008</v>
      </c>
      <c r="H301" s="426"/>
      <c r="I301" s="421">
        <f>ROUND($G301*C301,0)</f>
        <v>10680512</v>
      </c>
      <c r="K301" s="421">
        <f>ROUND($G301*E301,0)</f>
        <v>12931615</v>
      </c>
      <c r="M301" s="133">
        <f t="shared" si="99"/>
        <v>9.94</v>
      </c>
      <c r="N301" s="132"/>
      <c r="O301" s="28">
        <f>ROUND(M301*$E301,0)</f>
        <v>14475254</v>
      </c>
      <c r="Q301" s="83">
        <f t="shared" si="101"/>
        <v>-3.32E-2</v>
      </c>
      <c r="R301" s="42"/>
      <c r="S301" s="28">
        <f t="shared" si="102"/>
        <v>-334429.92309917806</v>
      </c>
      <c r="T301" s="28"/>
      <c r="V301" s="135"/>
      <c r="W301" s="167"/>
      <c r="X301" s="45">
        <f t="shared" si="100"/>
        <v>0.11936936936936915</v>
      </c>
      <c r="Z301" s="120"/>
    </row>
    <row r="302" spans="1:26">
      <c r="A302" s="40" t="s">
        <v>64</v>
      </c>
      <c r="C302" s="407">
        <v>818370.00119679503</v>
      </c>
      <c r="E302" s="407">
        <f>ROUND(C302*$E$307/$C$307,0)</f>
        <v>990855</v>
      </c>
      <c r="G302" s="445">
        <v>-0.9</v>
      </c>
      <c r="H302" s="426"/>
      <c r="I302" s="421">
        <f>ROUND($G302*C302,0)</f>
        <v>-736533</v>
      </c>
      <c r="K302" s="421">
        <f>ROUND($G302*E302,0)</f>
        <v>-891770</v>
      </c>
      <c r="M302" s="133">
        <f t="shared" si="99"/>
        <v>-1.01</v>
      </c>
      <c r="N302" s="132"/>
      <c r="O302" s="28">
        <f>ROUND(M302*$E302,0)</f>
        <v>-1000764</v>
      </c>
      <c r="Q302" s="130"/>
      <c r="R302" s="132"/>
      <c r="S302" s="28"/>
      <c r="T302" s="79"/>
      <c r="V302" s="135"/>
      <c r="X302" s="45">
        <f t="shared" si="100"/>
        <v>0.12222222222222223</v>
      </c>
    </row>
    <row r="303" spans="1:26">
      <c r="A303" s="40" t="s">
        <v>53</v>
      </c>
      <c r="C303" s="407">
        <v>118892701</v>
      </c>
      <c r="E303" s="407">
        <f>ROUND(C303*($E$307-$E$306)/($C$307-$C$306),0)</f>
        <v>144373013</v>
      </c>
      <c r="G303" s="444">
        <v>4.0021000000000004</v>
      </c>
      <c r="H303" s="424" t="s">
        <v>17</v>
      </c>
      <c r="I303" s="421">
        <f>ROUND($G303*C303/100,0)</f>
        <v>4758205</v>
      </c>
      <c r="K303" s="421">
        <f>ROUND($G303*E303/100,0)</f>
        <v>5777952</v>
      </c>
      <c r="M303" s="129">
        <f t="shared" si="99"/>
        <v>4.4812000000000003</v>
      </c>
      <c r="N303" s="48" t="s">
        <v>17</v>
      </c>
      <c r="O303" s="28">
        <f>ROUND(M303*$E303/100,0)</f>
        <v>6469643</v>
      </c>
      <c r="Q303" s="83">
        <f t="shared" ref="Q303:Q305" si="103">$W$289</f>
        <v>-3.32E-2</v>
      </c>
      <c r="R303" s="42"/>
      <c r="S303" s="28">
        <f t="shared" ref="S303:S305" si="104">O303*Q303*254/365</f>
        <v>-149471.79586410959</v>
      </c>
      <c r="T303" s="79"/>
      <c r="V303" s="135"/>
      <c r="X303" s="45">
        <f t="shared" si="100"/>
        <v>0.11971215112066158</v>
      </c>
      <c r="Y303" s="167"/>
    </row>
    <row r="304" spans="1:26">
      <c r="A304" s="40" t="s">
        <v>92</v>
      </c>
      <c r="C304" s="407">
        <v>277980185</v>
      </c>
      <c r="E304" s="407">
        <f>ROUND(C304*($E$307-$E$306)/($C$307-$C$306),0)</f>
        <v>337555093</v>
      </c>
      <c r="G304" s="444">
        <v>3.1328</v>
      </c>
      <c r="H304" s="424" t="s">
        <v>17</v>
      </c>
      <c r="I304" s="421">
        <f>ROUND($G304*C304/100,0)</f>
        <v>8708563</v>
      </c>
      <c r="K304" s="421">
        <f>ROUND($G304*E304/100,0)</f>
        <v>10574926</v>
      </c>
      <c r="M304" s="129">
        <f t="shared" si="99"/>
        <v>3.5078</v>
      </c>
      <c r="N304" s="48" t="s">
        <v>17</v>
      </c>
      <c r="O304" s="28">
        <f>ROUND(M304*$E304/100,0)</f>
        <v>11840758</v>
      </c>
      <c r="Q304" s="83">
        <f t="shared" si="103"/>
        <v>-3.32E-2</v>
      </c>
      <c r="R304" s="42"/>
      <c r="S304" s="28">
        <f t="shared" si="104"/>
        <v>-273563.6823627397</v>
      </c>
      <c r="T304" s="79"/>
      <c r="X304" s="45">
        <f t="shared" si="100"/>
        <v>0.11970122574055164</v>
      </c>
    </row>
    <row r="305" spans="1:26">
      <c r="A305" s="40" t="s">
        <v>138</v>
      </c>
      <c r="C305" s="407">
        <v>587651324.18374383</v>
      </c>
      <c r="E305" s="407">
        <f>E307-E303-E304</f>
        <v>713592941</v>
      </c>
      <c r="G305" s="444">
        <v>2.6987000000000001</v>
      </c>
      <c r="H305" s="424" t="s">
        <v>17</v>
      </c>
      <c r="I305" s="421">
        <f>ROUND($G305*C305/100,0)</f>
        <v>15858946</v>
      </c>
      <c r="K305" s="421">
        <f>ROUND($G305*E305/100,0)</f>
        <v>19257733</v>
      </c>
      <c r="M305" s="129">
        <f t="shared" si="99"/>
        <v>3.0226999999999999</v>
      </c>
      <c r="N305" s="48" t="s">
        <v>17</v>
      </c>
      <c r="O305" s="28">
        <f>ROUND(M305*$E305/100,0)</f>
        <v>21569774</v>
      </c>
      <c r="Q305" s="83">
        <f t="shared" si="103"/>
        <v>-3.32E-2</v>
      </c>
      <c r="R305" s="42"/>
      <c r="S305" s="28">
        <f t="shared" si="104"/>
        <v>-498338.60325260268</v>
      </c>
      <c r="T305" s="79"/>
      <c r="U305" s="27" t="s">
        <v>26</v>
      </c>
      <c r="V305" s="108">
        <f>O307/K307-1</f>
        <v>0.11973601883067531</v>
      </c>
      <c r="X305" s="45">
        <f t="shared" si="100"/>
        <v>0.12005780561010848</v>
      </c>
      <c r="Z305" s="167"/>
    </row>
    <row r="306" spans="1:26">
      <c r="A306" s="40" t="s">
        <v>41</v>
      </c>
      <c r="C306" s="428">
        <v>2883747</v>
      </c>
      <c r="E306" s="428">
        <v>0</v>
      </c>
      <c r="I306" s="429">
        <v>281678</v>
      </c>
      <c r="K306" s="429">
        <v>0</v>
      </c>
      <c r="O306" s="90">
        <v>0</v>
      </c>
      <c r="S306" s="90"/>
      <c r="U306" s="27" t="s">
        <v>48</v>
      </c>
      <c r="V306" s="123">
        <f>(O307+O308)/(K307+K308)-1</f>
        <v>7.6519346668815658E-2</v>
      </c>
    </row>
    <row r="307" spans="1:26" ht="16.5" thickBot="1">
      <c r="A307" s="40" t="s">
        <v>43</v>
      </c>
      <c r="C307" s="441">
        <f>SUM(C303:C306)</f>
        <v>987407957.18374383</v>
      </c>
      <c r="E307" s="441">
        <v>1195521047</v>
      </c>
      <c r="G307" s="439"/>
      <c r="I307" s="440">
        <f>SUM(I298:I306)</f>
        <v>59377851</v>
      </c>
      <c r="K307" s="440">
        <f>SUM(K298:K306)</f>
        <v>71649050</v>
      </c>
      <c r="M307" s="115"/>
      <c r="O307" s="114">
        <f>SUM(O298:O306)</f>
        <v>80228022</v>
      </c>
      <c r="Q307" s="116"/>
      <c r="S307" s="114">
        <f>SUM(S298:S306)</f>
        <v>-1615828.3305095891</v>
      </c>
      <c r="V307" s="167"/>
    </row>
    <row r="308" spans="1:26" ht="16.5" thickTop="1">
      <c r="A308" s="40" t="s">
        <v>45</v>
      </c>
      <c r="C308" s="407"/>
      <c r="E308" s="407"/>
      <c r="G308" s="433"/>
      <c r="H308" s="434"/>
      <c r="I308" s="429">
        <f>ROUND(I294*I307/I293,0)</f>
        <v>2876338</v>
      </c>
      <c r="K308" s="429">
        <f>I308</f>
        <v>2876338</v>
      </c>
      <c r="M308" s="36"/>
      <c r="N308" s="99"/>
      <c r="O308" s="89">
        <v>0</v>
      </c>
      <c r="Q308" s="36"/>
      <c r="R308" s="99"/>
      <c r="S308" s="89"/>
      <c r="T308" s="28"/>
    </row>
    <row r="309" spans="1:26">
      <c r="A309" s="40" t="s">
        <v>46</v>
      </c>
      <c r="C309" s="407"/>
      <c r="E309" s="407"/>
      <c r="G309" s="433">
        <f>M309</f>
        <v>3.6999999999999998E-2</v>
      </c>
      <c r="H309" s="434"/>
      <c r="I309" s="429">
        <f>ROUND(SUM(I299:I305,I308)*$G309,0)</f>
        <v>2289300</v>
      </c>
      <c r="K309" s="429">
        <f>ROUND(SUM(K299:K305,K308)*$G309,0)</f>
        <v>2753227</v>
      </c>
      <c r="M309" s="119">
        <f>M295</f>
        <v>3.6999999999999998E-2</v>
      </c>
      <c r="N309" s="118"/>
      <c r="O309" s="89">
        <f>ROUND(SUM(O299:O305,O308)*M309,0)</f>
        <v>2963688</v>
      </c>
      <c r="Q309" s="119"/>
      <c r="R309" s="118"/>
      <c r="S309" s="89"/>
      <c r="T309" s="28"/>
    </row>
    <row r="310" spans="1:26">
      <c r="T310" s="28"/>
    </row>
    <row r="311" spans="1:26">
      <c r="A311" s="37" t="s">
        <v>140</v>
      </c>
      <c r="T311" s="28"/>
    </row>
    <row r="312" spans="1:26">
      <c r="A312" s="40" t="s">
        <v>13</v>
      </c>
      <c r="C312" s="407">
        <v>1452.4974195286227</v>
      </c>
      <c r="E312" s="407">
        <v>1468</v>
      </c>
      <c r="G312" s="445">
        <v>55</v>
      </c>
      <c r="H312" s="426"/>
      <c r="I312" s="421">
        <f>ROUND($G312*C312,0)</f>
        <v>79887</v>
      </c>
      <c r="K312" s="421">
        <f>ROUND($G312*E312,0)</f>
        <v>80740</v>
      </c>
      <c r="M312" s="133">
        <f t="shared" ref="M312:M319" si="105">M298</f>
        <v>62</v>
      </c>
      <c r="N312" s="132"/>
      <c r="O312" s="28">
        <f>ROUND(M312*$E312,0)</f>
        <v>91016</v>
      </c>
      <c r="Q312" s="130"/>
      <c r="R312" s="132"/>
      <c r="S312" s="28"/>
      <c r="T312" s="28"/>
      <c r="X312" s="45">
        <f t="shared" ref="X312:X319" si="106">M312/G312-1</f>
        <v>0.1272727272727272</v>
      </c>
    </row>
    <row r="313" spans="1:26">
      <c r="A313" s="40" t="s">
        <v>135</v>
      </c>
      <c r="C313" s="407">
        <v>2352989.6830192576</v>
      </c>
      <c r="E313" s="407">
        <f>ROUND(C313*$E$321/$C$321,0)</f>
        <v>2401317</v>
      </c>
      <c r="G313" s="445">
        <v>3.77</v>
      </c>
      <c r="H313" s="426"/>
      <c r="I313" s="421">
        <f>ROUND($G313*C313,0)</f>
        <v>8870771</v>
      </c>
      <c r="K313" s="421">
        <f>ROUND($G313*E313,0)</f>
        <v>9052965</v>
      </c>
      <c r="M313" s="133">
        <f t="shared" si="105"/>
        <v>4.22</v>
      </c>
      <c r="N313" s="132"/>
      <c r="O313" s="28">
        <f>ROUND(M313*$E313,0)</f>
        <v>10133558</v>
      </c>
      <c r="Q313" s="130"/>
      <c r="R313" s="132"/>
      <c r="S313" s="28"/>
      <c r="T313" s="28"/>
      <c r="W313" s="86"/>
      <c r="X313" s="45">
        <f t="shared" si="106"/>
        <v>0.11936339522546402</v>
      </c>
    </row>
    <row r="314" spans="1:26">
      <c r="A314" s="40" t="s">
        <v>136</v>
      </c>
      <c r="C314" s="407">
        <v>966571.16841085337</v>
      </c>
      <c r="E314" s="407">
        <f>ROUND(C314*$E$321/$C$321,0)</f>
        <v>986423</v>
      </c>
      <c r="G314" s="445">
        <v>12.33</v>
      </c>
      <c r="H314" s="426"/>
      <c r="I314" s="421">
        <f>ROUND($G314*C314,0)</f>
        <v>11917823</v>
      </c>
      <c r="K314" s="421">
        <f>ROUND($G314*E314,0)</f>
        <v>12162596</v>
      </c>
      <c r="M314" s="133">
        <f t="shared" si="105"/>
        <v>13.81</v>
      </c>
      <c r="N314" s="132"/>
      <c r="O314" s="28">
        <f>ROUND(M314*$E314,0)</f>
        <v>13622502</v>
      </c>
      <c r="Q314" s="83">
        <f t="shared" ref="Q314:Q315" si="107">$W$289</f>
        <v>-3.32E-2</v>
      </c>
      <c r="R314" s="42"/>
      <c r="S314" s="28">
        <f t="shared" ref="S314:S315" si="108">O314*Q314*254/365</f>
        <v>-314728.31470027397</v>
      </c>
      <c r="T314" s="28"/>
      <c r="X314" s="45">
        <f t="shared" si="106"/>
        <v>0.12003244120032441</v>
      </c>
    </row>
    <row r="315" spans="1:26">
      <c r="A315" s="40" t="s">
        <v>137</v>
      </c>
      <c r="C315" s="407">
        <v>1322416.626436779</v>
      </c>
      <c r="E315" s="407">
        <f>ROUND(C315*$E$321/$C$321,0)</f>
        <v>1349578</v>
      </c>
      <c r="G315" s="445">
        <v>8.8800000000000008</v>
      </c>
      <c r="H315" s="426"/>
      <c r="I315" s="421">
        <f>ROUND($G315*C315,0)</f>
        <v>11743060</v>
      </c>
      <c r="K315" s="421">
        <f>ROUND($G315*E315,0)</f>
        <v>11984253</v>
      </c>
      <c r="M315" s="133">
        <f t="shared" si="105"/>
        <v>9.94</v>
      </c>
      <c r="N315" s="132"/>
      <c r="O315" s="28">
        <f>ROUND(M315*$E315,0)</f>
        <v>13414805</v>
      </c>
      <c r="Q315" s="83">
        <f t="shared" si="107"/>
        <v>-3.32E-2</v>
      </c>
      <c r="R315" s="42"/>
      <c r="S315" s="28">
        <f t="shared" si="108"/>
        <v>-309929.77425753424</v>
      </c>
      <c r="T315" s="28"/>
      <c r="W315" s="167"/>
      <c r="X315" s="45">
        <f t="shared" si="106"/>
        <v>0.11936936936936915</v>
      </c>
    </row>
    <row r="316" spans="1:26">
      <c r="A316" s="40" t="s">
        <v>64</v>
      </c>
      <c r="C316" s="407">
        <v>979266.2894490062</v>
      </c>
      <c r="E316" s="407">
        <f>ROUND(C316*$E$321/$C$321,0)</f>
        <v>999379</v>
      </c>
      <c r="G316" s="445">
        <v>-0.9</v>
      </c>
      <c r="H316" s="426"/>
      <c r="I316" s="421">
        <f>ROUND($G316*C316,0)</f>
        <v>-881340</v>
      </c>
      <c r="K316" s="421">
        <f>ROUND($G316*E316,0)</f>
        <v>-899441</v>
      </c>
      <c r="M316" s="133">
        <f t="shared" si="105"/>
        <v>-1.01</v>
      </c>
      <c r="N316" s="132"/>
      <c r="O316" s="28">
        <f>ROUND(M316*$E316,0)</f>
        <v>-1009373</v>
      </c>
      <c r="Q316" s="130"/>
      <c r="R316" s="132"/>
      <c r="S316" s="28"/>
      <c r="T316" s="79"/>
      <c r="W316" s="167"/>
      <c r="X316" s="45">
        <f t="shared" si="106"/>
        <v>0.12222222222222223</v>
      </c>
    </row>
    <row r="317" spans="1:26">
      <c r="A317" s="40" t="s">
        <v>53</v>
      </c>
      <c r="C317" s="407">
        <v>116167407</v>
      </c>
      <c r="E317" s="407">
        <f>ROUND(C317*($E$321-$E$320)/($C$321-$C$320),0)</f>
        <v>118973075</v>
      </c>
      <c r="G317" s="444">
        <v>4.0021000000000004</v>
      </c>
      <c r="H317" s="424" t="s">
        <v>17</v>
      </c>
      <c r="I317" s="421">
        <f>ROUND($G317*C317/100,0)</f>
        <v>4649136</v>
      </c>
      <c r="K317" s="421">
        <f>ROUND($G317*E317/100,0)</f>
        <v>4761421</v>
      </c>
      <c r="M317" s="129">
        <f t="shared" si="105"/>
        <v>4.4812000000000003</v>
      </c>
      <c r="N317" s="48" t="s">
        <v>17</v>
      </c>
      <c r="O317" s="28">
        <f>ROUND(M317*$E317/100,0)</f>
        <v>5331421</v>
      </c>
      <c r="Q317" s="83">
        <f t="shared" ref="Q317:Q319" si="109">$W$289</f>
        <v>-3.32E-2</v>
      </c>
      <c r="R317" s="42"/>
      <c r="S317" s="28">
        <f t="shared" ref="S317:S319" si="110">O317*Q317*254/365</f>
        <v>-123174.81372273972</v>
      </c>
      <c r="T317" s="79"/>
      <c r="X317" s="45">
        <f t="shared" si="106"/>
        <v>0.11971215112066158</v>
      </c>
      <c r="Y317" s="167"/>
    </row>
    <row r="318" spans="1:26">
      <c r="A318" s="40" t="s">
        <v>92</v>
      </c>
      <c r="C318" s="407">
        <v>283274604</v>
      </c>
      <c r="E318" s="407">
        <f>ROUND(C318*($E$321-$E$320)/($C$321-$C$320),0)</f>
        <v>290116234</v>
      </c>
      <c r="G318" s="444">
        <v>3.1328</v>
      </c>
      <c r="H318" s="424" t="s">
        <v>17</v>
      </c>
      <c r="I318" s="421">
        <f>ROUND($G318*C318/100,0)</f>
        <v>8874427</v>
      </c>
      <c r="K318" s="421">
        <f>ROUND($G318*E318/100,0)</f>
        <v>9088761</v>
      </c>
      <c r="M318" s="129">
        <f t="shared" si="105"/>
        <v>3.5078</v>
      </c>
      <c r="N318" s="48" t="s">
        <v>17</v>
      </c>
      <c r="O318" s="28">
        <f>ROUND(M318*$E318/100,0)</f>
        <v>10176697</v>
      </c>
      <c r="Q318" s="83">
        <f t="shared" si="109"/>
        <v>-3.32E-2</v>
      </c>
      <c r="R318" s="42"/>
      <c r="S318" s="28">
        <f t="shared" si="110"/>
        <v>-235117.94647013696</v>
      </c>
      <c r="T318" s="79"/>
      <c r="X318" s="45">
        <f t="shared" si="106"/>
        <v>0.11970122574055164</v>
      </c>
      <c r="Y318" s="167"/>
    </row>
    <row r="319" spans="1:26">
      <c r="A319" s="40" t="s">
        <v>138</v>
      </c>
      <c r="C319" s="407">
        <v>550041163</v>
      </c>
      <c r="E319" s="407">
        <f>E321-E317-E318</f>
        <v>563325722.69410527</v>
      </c>
      <c r="G319" s="444">
        <v>2.6987000000000001</v>
      </c>
      <c r="H319" s="424" t="s">
        <v>17</v>
      </c>
      <c r="I319" s="421">
        <f>ROUND($G319*C319/100,0)</f>
        <v>14843961</v>
      </c>
      <c r="K319" s="421">
        <f>ROUND($G319*E319/100,0)</f>
        <v>15202471</v>
      </c>
      <c r="M319" s="129">
        <f t="shared" si="105"/>
        <v>3.0226999999999999</v>
      </c>
      <c r="N319" s="48" t="s">
        <v>17</v>
      </c>
      <c r="O319" s="28">
        <f>ROUND(M319*$E319/100,0)</f>
        <v>17027647</v>
      </c>
      <c r="Q319" s="83">
        <f t="shared" si="109"/>
        <v>-3.32E-2</v>
      </c>
      <c r="R319" s="42"/>
      <c r="S319" s="28">
        <f t="shared" si="110"/>
        <v>-393399.29211397259</v>
      </c>
      <c r="T319" s="79"/>
      <c r="U319" s="27" t="s">
        <v>26</v>
      </c>
      <c r="V319" s="108">
        <f>O321/K321-1</f>
        <v>0.11971440917361309</v>
      </c>
      <c r="W319" s="117"/>
      <c r="X319" s="45">
        <f t="shared" si="106"/>
        <v>0.12005780561010848</v>
      </c>
      <c r="Z319" s="167"/>
    </row>
    <row r="320" spans="1:26" s="167" customFormat="1">
      <c r="A320" s="40" t="s">
        <v>41</v>
      </c>
      <c r="B320" s="16"/>
      <c r="C320" s="428">
        <v>3361544</v>
      </c>
      <c r="D320" s="408"/>
      <c r="E320" s="428">
        <v>0</v>
      </c>
      <c r="F320" s="408"/>
      <c r="G320" s="409"/>
      <c r="H320" s="408"/>
      <c r="I320" s="429">
        <v>130530.99072499992</v>
      </c>
      <c r="J320" s="408"/>
      <c r="K320" s="429">
        <v>0</v>
      </c>
      <c r="L320" s="175"/>
      <c r="M320" s="176"/>
      <c r="N320" s="175"/>
      <c r="O320" s="90">
        <v>0</v>
      </c>
      <c r="P320" s="175"/>
      <c r="Q320" s="177"/>
      <c r="R320" s="175"/>
      <c r="S320" s="90"/>
      <c r="U320" s="27" t="s">
        <v>48</v>
      </c>
      <c r="V320" s="123">
        <f>(O321+O322)/(K321+K322)-1</f>
        <v>6.8949270569424792E-2</v>
      </c>
      <c r="W320" s="117"/>
      <c r="X320" s="11"/>
      <c r="Y320" s="11"/>
    </row>
    <row r="321" spans="1:26" ht="16.5" thickBot="1">
      <c r="A321" s="40" t="s">
        <v>43</v>
      </c>
      <c r="C321" s="441">
        <f>SUM(C317:C320)</f>
        <v>952844718</v>
      </c>
      <c r="E321" s="441">
        <v>972415031.69410527</v>
      </c>
      <c r="G321" s="439"/>
      <c r="I321" s="440">
        <f>SUM(I312:I320)</f>
        <v>60228255.990725003</v>
      </c>
      <c r="K321" s="440">
        <f>SUM(K312:K320)</f>
        <v>61433766</v>
      </c>
      <c r="M321" s="115"/>
      <c r="O321" s="114">
        <f>SUM(O312:O320)</f>
        <v>68788273</v>
      </c>
      <c r="Q321" s="116"/>
      <c r="S321" s="114">
        <f>SUM(S312:S320)</f>
        <v>-1376350.1412646575</v>
      </c>
      <c r="V321" s="167"/>
      <c r="W321" s="117"/>
      <c r="X321" s="117"/>
      <c r="Y321" s="28"/>
    </row>
    <row r="322" spans="1:26" ht="16.5" thickTop="1">
      <c r="A322" s="40" t="s">
        <v>45</v>
      </c>
      <c r="C322" s="407"/>
      <c r="E322" s="407"/>
      <c r="G322" s="433"/>
      <c r="H322" s="434"/>
      <c r="I322" s="429">
        <f>I294-I308</f>
        <v>2917531.9463999998</v>
      </c>
      <c r="K322" s="429">
        <f>I322</f>
        <v>2917531.9463999998</v>
      </c>
      <c r="M322" s="36"/>
      <c r="N322" s="99"/>
      <c r="O322" s="89">
        <v>0</v>
      </c>
      <c r="Q322" s="36"/>
      <c r="R322" s="99"/>
      <c r="S322" s="89"/>
      <c r="T322" s="28"/>
      <c r="U322" s="167"/>
      <c r="V322" s="167"/>
      <c r="W322" s="117"/>
      <c r="X322" s="117"/>
      <c r="Y322" s="28"/>
    </row>
    <row r="323" spans="1:26">
      <c r="A323" s="40" t="s">
        <v>46</v>
      </c>
      <c r="C323" s="407"/>
      <c r="E323" s="407"/>
      <c r="G323" s="433">
        <f>M323</f>
        <v>3.6999999999999998E-2</v>
      </c>
      <c r="H323" s="434"/>
      <c r="I323" s="429">
        <f>ROUND(SUM(I313:I319,I322)*$G323,0)</f>
        <v>2328609</v>
      </c>
      <c r="K323" s="429">
        <f>ROUND(SUM(K313:K319,K322)*$G323,0)</f>
        <v>2378011</v>
      </c>
      <c r="M323" s="119">
        <f>M309</f>
        <v>3.6999999999999998E-2</v>
      </c>
      <c r="N323" s="118"/>
      <c r="O323" s="89">
        <f>ROUND(SUM(O313:O319,O322)*M323,0)</f>
        <v>2541799</v>
      </c>
      <c r="Q323" s="119"/>
      <c r="R323" s="118"/>
      <c r="S323" s="89"/>
      <c r="T323" s="28"/>
      <c r="U323" s="167"/>
      <c r="V323" s="167"/>
      <c r="X323" s="117"/>
      <c r="Y323" s="28"/>
      <c r="Z323" s="120"/>
    </row>
    <row r="324" spans="1:26">
      <c r="A324" s="178"/>
      <c r="B324" s="167"/>
      <c r="C324" s="453"/>
      <c r="D324" s="454"/>
      <c r="E324" s="455"/>
      <c r="F324" s="454"/>
      <c r="G324" s="455"/>
      <c r="H324" s="454"/>
      <c r="I324" s="455"/>
      <c r="J324" s="454"/>
      <c r="K324" s="455"/>
      <c r="L324" s="179"/>
      <c r="M324" s="167"/>
      <c r="N324" s="179"/>
      <c r="O324" s="167"/>
      <c r="P324" s="179"/>
      <c r="Q324" s="180"/>
      <c r="R324" s="179"/>
      <c r="S324" s="181"/>
      <c r="T324" s="28"/>
      <c r="U324" s="167"/>
      <c r="V324" s="167"/>
      <c r="X324" s="117"/>
      <c r="Y324" s="28"/>
      <c r="Z324" s="120"/>
    </row>
    <row r="325" spans="1:26">
      <c r="A325" s="37" t="s">
        <v>141</v>
      </c>
      <c r="C325" s="407"/>
      <c r="E325" s="407"/>
      <c r="T325" s="28"/>
      <c r="U325" s="27" t="s">
        <v>142</v>
      </c>
      <c r="W325" s="52" t="s">
        <v>143</v>
      </c>
      <c r="Y325" s="11" t="s">
        <v>447</v>
      </c>
      <c r="Z325" s="120"/>
    </row>
    <row r="326" spans="1:26">
      <c r="A326" s="40" t="s">
        <v>13</v>
      </c>
      <c r="C326" s="407">
        <f t="shared" ref="C326:C332" si="111">C339+C365+C352</f>
        <v>1819.2328422693699</v>
      </c>
      <c r="E326" s="407">
        <f t="shared" ref="E326:E332" si="112">E339+E365+E352</f>
        <v>1812</v>
      </c>
      <c r="G326" s="237">
        <v>200</v>
      </c>
      <c r="H326" s="420"/>
      <c r="I326" s="421">
        <f>ROUND($G326*C326,0)</f>
        <v>363847</v>
      </c>
      <c r="K326" s="421">
        <f>ROUND($G326*E326,0)</f>
        <v>362400</v>
      </c>
      <c r="M326" s="41">
        <f>ROUND(G326*(1+V330+V334),0)</f>
        <v>226</v>
      </c>
      <c r="N326" s="42"/>
      <c r="O326" s="28">
        <f>ROUND(M326*$E326,0)</f>
        <v>409512</v>
      </c>
      <c r="Q326" s="83"/>
      <c r="R326" s="42"/>
      <c r="S326" s="28"/>
      <c r="T326" s="28"/>
      <c r="U326" s="55" t="s">
        <v>20</v>
      </c>
      <c r="V326" s="56">
        <f>O334+O384+O394+O812+O823</f>
        <v>295474102</v>
      </c>
      <c r="W326" s="57">
        <f>S334+SUM(S776:S780,S812,S823)</f>
        <v>-6964674.163567123</v>
      </c>
      <c r="X326" s="45">
        <f t="shared" ref="X326:X332" si="113">M326/G326-1</f>
        <v>0.12999999999999989</v>
      </c>
      <c r="Y326" s="28">
        <f>I335+I813+I824</f>
        <v>10926121.592458902</v>
      </c>
      <c r="Z326" s="120"/>
    </row>
    <row r="327" spans="1:26">
      <c r="A327" s="40" t="s">
        <v>135</v>
      </c>
      <c r="C327" s="407">
        <f t="shared" si="111"/>
        <v>7776841.0375712058</v>
      </c>
      <c r="E327" s="407">
        <f t="shared" si="112"/>
        <v>8460039</v>
      </c>
      <c r="G327" s="237">
        <v>1.71</v>
      </c>
      <c r="H327" s="420"/>
      <c r="I327" s="421">
        <f>ROUND($G327*C327,0)</f>
        <v>13298398</v>
      </c>
      <c r="K327" s="421">
        <f>ROUND($G327*E327,0)</f>
        <v>14466667</v>
      </c>
      <c r="M327" s="41">
        <f>ROUND(G327*(1+$V$331+$V$334),2)</f>
        <v>1.94</v>
      </c>
      <c r="N327" s="42"/>
      <c r="O327" s="28">
        <f>ROUND(M327*$E327,0)</f>
        <v>16412476</v>
      </c>
      <c r="Q327" s="83"/>
      <c r="R327" s="42"/>
      <c r="S327" s="28"/>
      <c r="T327" s="28"/>
      <c r="U327" s="60" t="s">
        <v>22</v>
      </c>
      <c r="V327" s="57">
        <f>(Stipulation!C11+Stipulation!E11+Stipulation!C22+Stipulation!E22+Stipulation!C23+Stipulation!E23)*1000</f>
        <v>295473860.44038349</v>
      </c>
      <c r="W327" s="57">
        <f>(Stipulation!H11+Stipulation!H17*SUM(Blocking!O776:O780)/SUM(Blocking!O776:O780,Blocking!O715:O716,Blocking!O718:O720)+Stipulation!H22+Stipulation!H23)*1000-Blocking!W379</f>
        <v>-6965770.6112441998</v>
      </c>
      <c r="X327" s="45">
        <f t="shared" si="113"/>
        <v>0.13450292397660824</v>
      </c>
      <c r="Y327" s="45">
        <f>Y326/SUM(K328:K332,K806:K807,K809:K811,K818:K822)</f>
        <v>4.6093127949512994E-2</v>
      </c>
    </row>
    <row r="328" spans="1:26">
      <c r="A328" s="40" t="s">
        <v>136</v>
      </c>
      <c r="C328" s="407">
        <f t="shared" si="111"/>
        <v>3262439.7386532873</v>
      </c>
      <c r="E328" s="407">
        <f t="shared" si="112"/>
        <v>3548848</v>
      </c>
      <c r="G328" s="237">
        <v>10.76</v>
      </c>
      <c r="H328" s="420"/>
      <c r="I328" s="421">
        <f>ROUND($G328*C328,0)</f>
        <v>35103852</v>
      </c>
      <c r="K328" s="421">
        <f>ROUND($G328*E328,0)</f>
        <v>38185604</v>
      </c>
      <c r="M328" s="41">
        <f>ROUND(G328*(1+$V$331+$V$334),2)</f>
        <v>12.18</v>
      </c>
      <c r="N328" s="42"/>
      <c r="O328" s="28">
        <f>ROUND(M328*$E328,0)</f>
        <v>43224969</v>
      </c>
      <c r="Q328" s="83">
        <f>$W$330</f>
        <v>-3.73E-2</v>
      </c>
      <c r="R328" s="42"/>
      <c r="S328" s="28">
        <f t="shared" ref="S328:S332" si="114">O328*Q328*254/365</f>
        <v>-1121978.0857528767</v>
      </c>
      <c r="T328" s="28"/>
      <c r="U328" s="64" t="s">
        <v>24</v>
      </c>
      <c r="V328" s="65">
        <f>V327-V326</f>
        <v>-241.5596165060997</v>
      </c>
      <c r="W328" s="65">
        <f>W327-W326</f>
        <v>-1096.4476770767942</v>
      </c>
      <c r="X328" s="45">
        <f t="shared" si="113"/>
        <v>0.13197026022304836</v>
      </c>
      <c r="Y328" s="28">
        <f>K335+K813+K824</f>
        <v>10926121.592458902</v>
      </c>
    </row>
    <row r="329" spans="1:26">
      <c r="A329" s="40" t="s">
        <v>137</v>
      </c>
      <c r="C329" s="407">
        <f t="shared" si="111"/>
        <v>4386198.8695035465</v>
      </c>
      <c r="E329" s="407">
        <f t="shared" si="112"/>
        <v>4771437</v>
      </c>
      <c r="G329" s="237">
        <v>7.3</v>
      </c>
      <c r="H329" s="420"/>
      <c r="I329" s="421">
        <f>ROUND($G329*C329,0)</f>
        <v>32019252</v>
      </c>
      <c r="K329" s="421">
        <f>ROUND($G329*E329,0)</f>
        <v>34831490</v>
      </c>
      <c r="M329" s="41">
        <f>ROUND(G329*(1+$V$331+$V$334),2)</f>
        <v>8.26</v>
      </c>
      <c r="N329" s="42"/>
      <c r="O329" s="28">
        <f>ROUND(M329*$E329,0)</f>
        <v>39412070</v>
      </c>
      <c r="Q329" s="83">
        <f t="shared" ref="Q329:Q332" si="115">$W$330</f>
        <v>-3.73E-2</v>
      </c>
      <c r="R329" s="42"/>
      <c r="S329" s="28">
        <f t="shared" si="114"/>
        <v>-1023007.7632712328</v>
      </c>
      <c r="T329" s="79"/>
      <c r="U329" s="69" t="s">
        <v>26</v>
      </c>
      <c r="V329" s="139">
        <f>V326/(K334+K384+K394+K812+K823)-1</f>
        <v>0.13171677431085538</v>
      </c>
      <c r="W329" s="182" t="s">
        <v>144</v>
      </c>
      <c r="X329" s="45">
        <f t="shared" si="113"/>
        <v>0.1315068493150684</v>
      </c>
      <c r="Z329" s="120"/>
    </row>
    <row r="330" spans="1:26">
      <c r="A330" s="40" t="s">
        <v>145</v>
      </c>
      <c r="C330" s="407">
        <f t="shared" si="111"/>
        <v>440105177</v>
      </c>
      <c r="E330" s="407">
        <f t="shared" si="112"/>
        <v>480136989</v>
      </c>
      <c r="G330" s="456">
        <v>3.5857999999999999</v>
      </c>
      <c r="H330" s="424" t="s">
        <v>17</v>
      </c>
      <c r="I330" s="421">
        <f>ROUND($G330*C330/100,0)</f>
        <v>15781291</v>
      </c>
      <c r="K330" s="421">
        <f>ROUND($G330*E330/100,0)</f>
        <v>17216752</v>
      </c>
      <c r="M330" s="183">
        <f>ROUND(G330*(1+$V$331+$V$334),4)</f>
        <v>4.0587999999999997</v>
      </c>
      <c r="N330" s="48" t="s">
        <v>17</v>
      </c>
      <c r="O330" s="28">
        <f>ROUND(M330*$E330/100,0)</f>
        <v>19487800</v>
      </c>
      <c r="Q330" s="83">
        <f t="shared" si="115"/>
        <v>-3.73E-2</v>
      </c>
      <c r="R330" s="48"/>
      <c r="S330" s="28">
        <f t="shared" si="114"/>
        <v>-505839.2185205479</v>
      </c>
      <c r="T330" s="79"/>
      <c r="U330" s="74" t="s">
        <v>28</v>
      </c>
      <c r="V330" s="140">
        <f>V327/(K334+K384+K394+K812+K823)-1</f>
        <v>0.13171584909585987</v>
      </c>
      <c r="W330" s="184">
        <f>ROUND(W327/SUM(O328:O332,O776:O780,O806:O807,O809:O811,O818:O822)*365/254,4)+W336</f>
        <v>-3.73E-2</v>
      </c>
      <c r="X330" s="45">
        <f t="shared" si="113"/>
        <v>0.13190919738970375</v>
      </c>
      <c r="Y330" s="28"/>
      <c r="Z330"/>
    </row>
    <row r="331" spans="1:26">
      <c r="A331" s="40" t="s">
        <v>146</v>
      </c>
      <c r="C331" s="407">
        <f t="shared" si="111"/>
        <v>1152247695</v>
      </c>
      <c r="E331" s="407">
        <f t="shared" si="112"/>
        <v>1256679559</v>
      </c>
      <c r="G331" s="456">
        <v>2.6962999999999999</v>
      </c>
      <c r="H331" s="424" t="s">
        <v>17</v>
      </c>
      <c r="I331" s="421">
        <f>ROUND($G331*C331/100,0)</f>
        <v>31068055</v>
      </c>
      <c r="K331" s="421">
        <f>ROUND($G331*E331/100,0)</f>
        <v>33883851</v>
      </c>
      <c r="M331" s="183">
        <f>ROUND(G331*(1+$V$331+$V$334),4)</f>
        <v>3.052</v>
      </c>
      <c r="N331" s="48" t="s">
        <v>17</v>
      </c>
      <c r="O331" s="28">
        <f>ROUND(M331*$E331/100,0)</f>
        <v>38353860</v>
      </c>
      <c r="Q331" s="83">
        <f t="shared" si="115"/>
        <v>-3.73E-2</v>
      </c>
      <c r="R331" s="48"/>
      <c r="S331" s="28">
        <f t="shared" si="114"/>
        <v>-995540.11071780825</v>
      </c>
      <c r="T331" s="79"/>
      <c r="U331" s="74" t="s">
        <v>80</v>
      </c>
      <c r="V331" s="140">
        <f>V330</f>
        <v>0.13171584909585987</v>
      </c>
      <c r="W331" s="142" t="s">
        <v>79</v>
      </c>
      <c r="X331" s="45">
        <f t="shared" si="113"/>
        <v>0.13192152208582142</v>
      </c>
      <c r="Z331"/>
    </row>
    <row r="332" spans="1:26">
      <c r="A332" s="40" t="s">
        <v>138</v>
      </c>
      <c r="C332" s="407">
        <f t="shared" si="111"/>
        <v>2618901398</v>
      </c>
      <c r="E332" s="407">
        <f t="shared" si="112"/>
        <v>2857102207.772428</v>
      </c>
      <c r="G332" s="457">
        <v>2.2517999999999998</v>
      </c>
      <c r="H332" s="424" t="s">
        <v>17</v>
      </c>
      <c r="I332" s="421">
        <f>ROUND($G332*C332/100,0)</f>
        <v>58972422</v>
      </c>
      <c r="K332" s="421">
        <f>ROUND($G332*E332/100,0)</f>
        <v>64336228</v>
      </c>
      <c r="M332" s="183">
        <f>ROUND(G332*(1+$V$331+$V$334),4)</f>
        <v>2.5488</v>
      </c>
      <c r="N332" s="48" t="s">
        <v>17</v>
      </c>
      <c r="O332" s="28">
        <f>ROUND(M332*$E332/100,0)</f>
        <v>72821821</v>
      </c>
      <c r="Q332" s="83">
        <f t="shared" si="115"/>
        <v>-3.73E-2</v>
      </c>
      <c r="R332" s="48"/>
      <c r="S332" s="28">
        <f t="shared" si="114"/>
        <v>-1890215.0589539723</v>
      </c>
      <c r="T332" s="79"/>
      <c r="U332" s="91" t="s">
        <v>32</v>
      </c>
      <c r="V332" s="185">
        <f>M326/G326-1</f>
        <v>0.12999999999999989</v>
      </c>
      <c r="W332" s="144">
        <f>'Table A(GRC+REC)'!W52</f>
        <v>-33605.646299312328</v>
      </c>
      <c r="X332" s="45">
        <f t="shared" si="113"/>
        <v>0.13189448441247009</v>
      </c>
      <c r="Y332" s="135"/>
      <c r="Z332"/>
    </row>
    <row r="333" spans="1:26">
      <c r="A333" s="40" t="s">
        <v>41</v>
      </c>
      <c r="C333" s="428">
        <f>C359+C346+C372</f>
        <v>12309239</v>
      </c>
      <c r="E333" s="428">
        <f>E359+E346+E372</f>
        <v>0</v>
      </c>
      <c r="I333" s="429">
        <f>I359+I346+I372</f>
        <v>456706</v>
      </c>
      <c r="K333" s="429">
        <f>K359+K346+K372</f>
        <v>0</v>
      </c>
      <c r="M333" s="15"/>
      <c r="O333" s="90">
        <v>0</v>
      </c>
      <c r="Q333" s="141"/>
      <c r="S333" s="90"/>
      <c r="U333" s="74" t="s">
        <v>48</v>
      </c>
      <c r="V333" s="140">
        <f>(O334+O335)/(K334+K335)-1</f>
        <v>8.5640112031008853E-2</v>
      </c>
      <c r="W333" s="142" t="s">
        <v>81</v>
      </c>
    </row>
    <row r="334" spans="1:26" ht="16.5" thickBot="1">
      <c r="A334" s="40" t="s">
        <v>43</v>
      </c>
      <c r="C334" s="441">
        <f>C360+C347+C373</f>
        <v>4223563509</v>
      </c>
      <c r="E334" s="441">
        <f>E360+E347+E373</f>
        <v>4593918755.7724276</v>
      </c>
      <c r="G334" s="439"/>
      <c r="I334" s="440">
        <f>SUM(I326:I333)</f>
        <v>187063823</v>
      </c>
      <c r="K334" s="440">
        <f>SUM(K326:K333)</f>
        <v>203282992</v>
      </c>
      <c r="M334" s="113"/>
      <c r="O334" s="114">
        <f>SUM(O326:O333)</f>
        <v>230122508</v>
      </c>
      <c r="Q334" s="143"/>
      <c r="S334" s="114">
        <f>SUM(S326:S333)</f>
        <v>-5536580.2372164382</v>
      </c>
      <c r="U334" s="186" t="s">
        <v>44</v>
      </c>
      <c r="V334" s="187">
        <v>1.9000000000000001E-4</v>
      </c>
      <c r="W334" s="144">
        <f>Stipulation!H25</f>
        <v>-33600.000000000007</v>
      </c>
    </row>
    <row r="335" spans="1:26" ht="16.5" thickTop="1">
      <c r="A335" s="40" t="s">
        <v>45</v>
      </c>
      <c r="C335" s="407"/>
      <c r="E335" s="407"/>
      <c r="G335" s="433"/>
      <c r="H335" s="434"/>
      <c r="I335" s="429">
        <v>9040153.7037000004</v>
      </c>
      <c r="K335" s="429">
        <f>$Y$327*SUM(K328:K332)</f>
        <v>8686430.8776129261</v>
      </c>
      <c r="M335" s="36"/>
      <c r="N335" s="99"/>
      <c r="O335" s="89">
        <v>0</v>
      </c>
      <c r="Q335" s="36"/>
      <c r="R335" s="99"/>
      <c r="S335" s="89"/>
      <c r="T335" s="28"/>
      <c r="U335" s="85"/>
      <c r="V335" s="188"/>
      <c r="W335" s="147" t="s">
        <v>44</v>
      </c>
    </row>
    <row r="336" spans="1:26">
      <c r="A336" s="40" t="s">
        <v>46</v>
      </c>
      <c r="C336" s="407"/>
      <c r="E336" s="407"/>
      <c r="G336" s="433">
        <f>M336</f>
        <v>3.6999999999999998E-2</v>
      </c>
      <c r="H336" s="434"/>
      <c r="I336" s="429">
        <f>ROUND(SUM(I327:I332,I335)*$G336,0)</f>
        <v>7225487</v>
      </c>
      <c r="K336" s="429">
        <f>ROUND(SUM(K327:K332,K335)*$G336,0)</f>
        <v>7829460</v>
      </c>
      <c r="M336" s="36">
        <v>3.6999999999999998E-2</v>
      </c>
      <c r="N336" s="99"/>
      <c r="O336" s="89">
        <f>ROUND(SUM(O327:O332,O335)*M336,0)</f>
        <v>8499381</v>
      </c>
      <c r="Q336" s="36"/>
      <c r="R336" s="99"/>
      <c r="S336" s="89"/>
      <c r="T336" s="28"/>
      <c r="W336" s="189">
        <v>0</v>
      </c>
    </row>
    <row r="337" spans="1:26">
      <c r="C337" s="407"/>
      <c r="E337" s="407"/>
      <c r="T337" s="28"/>
    </row>
    <row r="338" spans="1:26">
      <c r="A338" s="37" t="s">
        <v>147</v>
      </c>
      <c r="C338" s="407"/>
      <c r="E338" s="407"/>
      <c r="T338" s="28"/>
    </row>
    <row r="339" spans="1:26">
      <c r="A339" s="40" t="s">
        <v>13</v>
      </c>
      <c r="C339" s="407">
        <v>298.26686441658597</v>
      </c>
      <c r="E339" s="407">
        <v>300</v>
      </c>
      <c r="G339" s="445">
        <v>200</v>
      </c>
      <c r="H339" s="426"/>
      <c r="I339" s="421">
        <f>ROUND($G339*C339,0)</f>
        <v>59653</v>
      </c>
      <c r="K339" s="421">
        <f>ROUND($G339*E339,0)</f>
        <v>60000</v>
      </c>
      <c r="M339" s="133">
        <f t="shared" ref="M339:M345" si="116">M326</f>
        <v>226</v>
      </c>
      <c r="N339" s="132"/>
      <c r="O339" s="28">
        <f>ROUND(M339*$E339,0)</f>
        <v>67800</v>
      </c>
      <c r="Q339" s="130"/>
      <c r="R339" s="132"/>
      <c r="S339" s="28"/>
      <c r="T339" s="28"/>
      <c r="X339" s="45">
        <f t="shared" ref="X339:X345" si="117">M339/G339-1</f>
        <v>0.12999999999999989</v>
      </c>
    </row>
    <row r="340" spans="1:26">
      <c r="A340" s="40" t="s">
        <v>135</v>
      </c>
      <c r="C340" s="407">
        <v>582656.54252297396</v>
      </c>
      <c r="E340" s="407">
        <f>ROUND(C340*$E$347/$C$347,0)</f>
        <v>667353</v>
      </c>
      <c r="G340" s="445">
        <v>1.71</v>
      </c>
      <c r="H340" s="426"/>
      <c r="I340" s="421">
        <f>ROUND($G340*C340,0)</f>
        <v>996343</v>
      </c>
      <c r="K340" s="421">
        <f>ROUND($G340*E340,0)</f>
        <v>1141174</v>
      </c>
      <c r="M340" s="133">
        <f t="shared" si="116"/>
        <v>1.94</v>
      </c>
      <c r="N340" s="132"/>
      <c r="O340" s="28">
        <f>ROUND(M340*$E340,0)</f>
        <v>1294665</v>
      </c>
      <c r="Q340" s="130"/>
      <c r="R340" s="132"/>
      <c r="S340" s="28"/>
      <c r="T340" s="28"/>
      <c r="U340" s="101"/>
      <c r="X340" s="45">
        <f t="shared" si="117"/>
        <v>0.13450292397660824</v>
      </c>
    </row>
    <row r="341" spans="1:26">
      <c r="A341" s="40" t="s">
        <v>136</v>
      </c>
      <c r="C341" s="407">
        <v>253322.25302422699</v>
      </c>
      <c r="E341" s="407">
        <f>ROUND(C341*$E$347/$C$347,0)</f>
        <v>290146</v>
      </c>
      <c r="G341" s="445">
        <v>10.76</v>
      </c>
      <c r="H341" s="426"/>
      <c r="I341" s="421">
        <f>ROUND($G341*C341,0)</f>
        <v>2725747</v>
      </c>
      <c r="K341" s="421">
        <f>ROUND($G341*E341,0)</f>
        <v>3121971</v>
      </c>
      <c r="M341" s="133">
        <f t="shared" si="116"/>
        <v>12.18</v>
      </c>
      <c r="N341" s="132"/>
      <c r="O341" s="28">
        <f>ROUND(M341*$E341,0)</f>
        <v>3533978</v>
      </c>
      <c r="Q341" s="130">
        <f t="shared" ref="Q341:Q345" si="118">Q328</f>
        <v>-3.73E-2</v>
      </c>
      <c r="R341" s="132"/>
      <c r="S341" s="28">
        <f t="shared" ref="S341:S345" si="119">O341*Q341*254/365</f>
        <v>-91730.450322191784</v>
      </c>
      <c r="T341" s="28"/>
      <c r="W341"/>
      <c r="X341" s="45">
        <f t="shared" si="117"/>
        <v>0.13197026022304836</v>
      </c>
    </row>
    <row r="342" spans="1:26">
      <c r="A342" s="40" t="s">
        <v>137</v>
      </c>
      <c r="C342" s="407">
        <v>311950.44680851098</v>
      </c>
      <c r="E342" s="407">
        <f>ROUND(C342*$E$347/$C$347,0)</f>
        <v>357296</v>
      </c>
      <c r="G342" s="445">
        <v>7.3</v>
      </c>
      <c r="H342" s="426"/>
      <c r="I342" s="421">
        <f>ROUND($G342*C342,0)</f>
        <v>2277238</v>
      </c>
      <c r="K342" s="421">
        <f>ROUND($G342*E342,0)</f>
        <v>2608261</v>
      </c>
      <c r="M342" s="133">
        <f t="shared" si="116"/>
        <v>8.26</v>
      </c>
      <c r="N342" s="132"/>
      <c r="O342" s="28">
        <f>ROUND(M342*$E342,0)</f>
        <v>2951265</v>
      </c>
      <c r="Q342" s="130">
        <f t="shared" si="118"/>
        <v>-3.73E-2</v>
      </c>
      <c r="R342" s="132"/>
      <c r="S342" s="28">
        <f t="shared" si="119"/>
        <v>-76605.136610958914</v>
      </c>
      <c r="T342" s="79"/>
      <c r="X342" s="45">
        <f t="shared" si="117"/>
        <v>0.1315068493150684</v>
      </c>
    </row>
    <row r="343" spans="1:26">
      <c r="A343" s="40" t="s">
        <v>145</v>
      </c>
      <c r="C343" s="407">
        <v>31745659</v>
      </c>
      <c r="E343" s="407">
        <f>ROUND(C343*$E$347/($C$347-$C$346),0)</f>
        <v>36466614</v>
      </c>
      <c r="G343" s="447">
        <v>3.5857999999999999</v>
      </c>
      <c r="H343" s="424" t="s">
        <v>17</v>
      </c>
      <c r="I343" s="421">
        <f>ROUND($G343*C343/100,0)</f>
        <v>1138336</v>
      </c>
      <c r="K343" s="421">
        <f>ROUND($G343*E343/100,0)</f>
        <v>1307620</v>
      </c>
      <c r="M343" s="157">
        <f t="shared" si="116"/>
        <v>4.0587999999999997</v>
      </c>
      <c r="N343" s="48" t="s">
        <v>17</v>
      </c>
      <c r="O343" s="28">
        <f>ROUND(M343*$E343/100,0)</f>
        <v>1480107</v>
      </c>
      <c r="Q343" s="130">
        <f t="shared" si="118"/>
        <v>-3.73E-2</v>
      </c>
      <c r="R343" s="48"/>
      <c r="S343" s="28">
        <f t="shared" si="119"/>
        <v>-38418.71161479452</v>
      </c>
      <c r="T343" s="79"/>
      <c r="X343" s="45">
        <f t="shared" si="117"/>
        <v>0.13190919738970375</v>
      </c>
      <c r="Y343"/>
    </row>
    <row r="344" spans="1:26">
      <c r="A344" s="40" t="s">
        <v>146</v>
      </c>
      <c r="C344" s="407">
        <v>73224483</v>
      </c>
      <c r="E344" s="407">
        <f>ROUND(C344*$E$347/($C$347-$C$346),0)</f>
        <v>84113829</v>
      </c>
      <c r="G344" s="447">
        <v>2.6962999999999999</v>
      </c>
      <c r="H344" s="424" t="s">
        <v>17</v>
      </c>
      <c r="I344" s="421">
        <f>ROUND($G344*C344/100,0)</f>
        <v>1974352</v>
      </c>
      <c r="K344" s="421">
        <f>ROUND($G344*E344/100,0)</f>
        <v>2267961</v>
      </c>
      <c r="M344" s="157">
        <f t="shared" si="116"/>
        <v>3.052</v>
      </c>
      <c r="N344" s="48" t="s">
        <v>17</v>
      </c>
      <c r="O344" s="28">
        <f>ROUND(M344*$E344/100,0)</f>
        <v>2567154</v>
      </c>
      <c r="Q344" s="130">
        <f t="shared" si="118"/>
        <v>-3.73E-2</v>
      </c>
      <c r="R344" s="48"/>
      <c r="S344" s="28">
        <f t="shared" si="119"/>
        <v>-66634.877881643828</v>
      </c>
      <c r="T344" s="79"/>
      <c r="X344" s="45">
        <f t="shared" si="117"/>
        <v>0.13192152208582142</v>
      </c>
    </row>
    <row r="345" spans="1:26">
      <c r="A345" s="40" t="s">
        <v>138</v>
      </c>
      <c r="C345" s="407">
        <v>158226152</v>
      </c>
      <c r="E345" s="407">
        <f>E347-E343-E344</f>
        <v>181756250</v>
      </c>
      <c r="G345" s="447">
        <v>2.2517999999999998</v>
      </c>
      <c r="H345" s="424" t="s">
        <v>17</v>
      </c>
      <c r="I345" s="421">
        <f>ROUND($G345*C345/100,0)</f>
        <v>3562936</v>
      </c>
      <c r="K345" s="421">
        <f>ROUND($G345*E345/100,0)</f>
        <v>4092787</v>
      </c>
      <c r="M345" s="157">
        <f t="shared" si="116"/>
        <v>2.5488</v>
      </c>
      <c r="N345" s="48" t="s">
        <v>17</v>
      </c>
      <c r="O345" s="28">
        <f>ROUND(M345*$E345/100,0)</f>
        <v>4632603</v>
      </c>
      <c r="Q345" s="130">
        <f t="shared" si="118"/>
        <v>-3.73E-2</v>
      </c>
      <c r="R345" s="48"/>
      <c r="S345" s="28">
        <f t="shared" si="119"/>
        <v>-120247.14340438358</v>
      </c>
      <c r="T345" s="79"/>
      <c r="U345" s="27" t="s">
        <v>26</v>
      </c>
      <c r="V345" s="108">
        <f>O347/K347-1</f>
        <v>0.13204300285744153</v>
      </c>
      <c r="X345" s="45">
        <f t="shared" si="117"/>
        <v>0.13189448441247009</v>
      </c>
      <c r="Z345"/>
    </row>
    <row r="346" spans="1:26">
      <c r="A346" s="40" t="s">
        <v>41</v>
      </c>
      <c r="C346" s="428">
        <v>769707</v>
      </c>
      <c r="E346" s="428">
        <v>0</v>
      </c>
      <c r="I346" s="429">
        <v>60099</v>
      </c>
      <c r="K346" s="429">
        <v>0</v>
      </c>
      <c r="O346" s="90">
        <v>0</v>
      </c>
      <c r="S346" s="90"/>
      <c r="U346" s="27" t="s">
        <v>48</v>
      </c>
      <c r="V346" s="123">
        <f>(O347+O348)/(K347+K348)-1</f>
        <v>8.7776501639899696E-2</v>
      </c>
    </row>
    <row r="347" spans="1:26" ht="16.5" thickBot="1">
      <c r="A347" s="40" t="s">
        <v>43</v>
      </c>
      <c r="C347" s="441">
        <f>SUM(C343:C346)</f>
        <v>263966001</v>
      </c>
      <c r="E347" s="441">
        <v>302336693</v>
      </c>
      <c r="G347" s="439"/>
      <c r="I347" s="440">
        <f>SUM(I339:I346)</f>
        <v>12794704</v>
      </c>
      <c r="K347" s="440">
        <f>SUM(K339:K346)</f>
        <v>14599774</v>
      </c>
      <c r="M347" s="115"/>
      <c r="O347" s="114">
        <f>SUM(O339:O346)</f>
        <v>16527572</v>
      </c>
      <c r="Q347" s="116"/>
      <c r="S347" s="114">
        <f>SUM(S339:S346)</f>
        <v>-393636.31983397261</v>
      </c>
      <c r="V347"/>
    </row>
    <row r="348" spans="1:26" ht="16.5" thickTop="1">
      <c r="A348" s="40" t="s">
        <v>45</v>
      </c>
      <c r="C348" s="407"/>
      <c r="E348" s="407"/>
      <c r="G348" s="433"/>
      <c r="H348" s="434"/>
      <c r="I348" s="429">
        <f>ROUND($I$335*I347/$I$334,0)</f>
        <v>618324</v>
      </c>
      <c r="K348" s="429">
        <f>$K$335*I348/$I$335</f>
        <v>594130.23959657375</v>
      </c>
      <c r="M348" s="36"/>
      <c r="N348" s="99"/>
      <c r="O348" s="89">
        <v>0</v>
      </c>
      <c r="Q348" s="36"/>
      <c r="R348" s="99"/>
      <c r="S348" s="89"/>
      <c r="T348" s="28"/>
    </row>
    <row r="349" spans="1:26">
      <c r="A349" s="40" t="s">
        <v>46</v>
      </c>
      <c r="C349" s="407"/>
      <c r="E349" s="407"/>
      <c r="G349" s="433">
        <f>M349</f>
        <v>3.6999999999999998E-2</v>
      </c>
      <c r="H349" s="434"/>
      <c r="I349" s="429">
        <f>ROUND(SUM(I340:I345,I348)*$G349,0)</f>
        <v>491851</v>
      </c>
      <c r="K349" s="429">
        <f>ROUND(SUM(K340:K345,K348)*$G349,0)</f>
        <v>559954</v>
      </c>
      <c r="M349" s="119">
        <f>M336</f>
        <v>3.6999999999999998E-2</v>
      </c>
      <c r="N349" s="118"/>
      <c r="O349" s="89">
        <f>ROUND(SUM(O340:O345,O348)*M349,0)</f>
        <v>609012</v>
      </c>
      <c r="Q349" s="119"/>
      <c r="R349" s="118"/>
      <c r="S349" s="89"/>
      <c r="T349" s="28"/>
    </row>
    <row r="350" spans="1:26">
      <c r="C350" s="407"/>
      <c r="E350" s="407"/>
      <c r="T350" s="28"/>
    </row>
    <row r="351" spans="1:26">
      <c r="A351" s="37" t="s">
        <v>148</v>
      </c>
      <c r="C351" s="407"/>
      <c r="E351" s="407"/>
      <c r="T351" s="28"/>
    </row>
    <row r="352" spans="1:26">
      <c r="A352" s="40" t="s">
        <v>13</v>
      </c>
      <c r="C352" s="407">
        <v>1472.966027852784</v>
      </c>
      <c r="E352" s="407">
        <v>1464</v>
      </c>
      <c r="G352" s="445">
        <v>200</v>
      </c>
      <c r="H352" s="426"/>
      <c r="I352" s="421">
        <f>ROUND($G352*C352,0)</f>
        <v>294593</v>
      </c>
      <c r="K352" s="421">
        <f>ROUND($G352*E352,0)</f>
        <v>292800</v>
      </c>
      <c r="M352" s="133">
        <f t="shared" ref="M352:M358" si="120">M326</f>
        <v>226</v>
      </c>
      <c r="N352" s="132"/>
      <c r="O352" s="28">
        <f>ROUND(M352*$E352,0)</f>
        <v>330864</v>
      </c>
      <c r="Q352" s="130"/>
      <c r="R352" s="132"/>
      <c r="S352" s="28"/>
      <c r="T352" s="28"/>
      <c r="X352" s="45">
        <f t="shared" ref="X352:X358" si="121">M352/G352-1</f>
        <v>0.12999999999999989</v>
      </c>
    </row>
    <row r="353" spans="1:26">
      <c r="A353" s="40" t="s">
        <v>135</v>
      </c>
      <c r="C353" s="407">
        <v>6343883.49435711</v>
      </c>
      <c r="E353" s="407">
        <f>ROUND(C353*$E$360/$C$360,0)</f>
        <v>6911697</v>
      </c>
      <c r="G353" s="445">
        <v>1.71</v>
      </c>
      <c r="H353" s="426"/>
      <c r="I353" s="421">
        <f>ROUND($G353*C353,0)</f>
        <v>10848041</v>
      </c>
      <c r="K353" s="421">
        <f>ROUND($G353*E353,0)</f>
        <v>11819002</v>
      </c>
      <c r="M353" s="133">
        <f t="shared" si="120"/>
        <v>1.94</v>
      </c>
      <c r="N353" s="132"/>
      <c r="O353" s="28">
        <f>ROUND(M353*$E353,0)</f>
        <v>13408692</v>
      </c>
      <c r="Q353" s="130"/>
      <c r="R353" s="132"/>
      <c r="S353" s="28"/>
      <c r="T353" s="28"/>
      <c r="X353" s="45">
        <f t="shared" si="121"/>
        <v>0.13450292397660824</v>
      </c>
    </row>
    <row r="354" spans="1:26">
      <c r="A354" s="40" t="s">
        <v>136</v>
      </c>
      <c r="C354" s="407">
        <v>2639405.485443186</v>
      </c>
      <c r="E354" s="407">
        <f>ROUND(C354*$E$360/$C$360,0)</f>
        <v>2875647</v>
      </c>
      <c r="G354" s="445">
        <v>10.76</v>
      </c>
      <c r="H354" s="426"/>
      <c r="I354" s="421">
        <f>ROUND($G354*C354,0)</f>
        <v>28400003</v>
      </c>
      <c r="K354" s="421">
        <f>ROUND($G354*E354,0)</f>
        <v>30941962</v>
      </c>
      <c r="M354" s="133">
        <f t="shared" si="120"/>
        <v>12.18</v>
      </c>
      <c r="N354" s="132"/>
      <c r="O354" s="28">
        <f>ROUND(M354*$E354,0)</f>
        <v>35025380</v>
      </c>
      <c r="Q354" s="130">
        <f t="shared" ref="Q354:Q358" si="122">Q328</f>
        <v>-3.73E-2</v>
      </c>
      <c r="R354" s="132"/>
      <c r="S354" s="28">
        <f t="shared" ref="S354:S358" si="123">O354*Q354*254/365</f>
        <v>-909143.71286575333</v>
      </c>
      <c r="T354" s="28"/>
      <c r="W354"/>
      <c r="X354" s="45">
        <f t="shared" si="121"/>
        <v>0.13197026022304836</v>
      </c>
    </row>
    <row r="355" spans="1:26">
      <c r="A355" s="40" t="s">
        <v>137</v>
      </c>
      <c r="C355" s="407">
        <v>3610414.4226950351</v>
      </c>
      <c r="E355" s="407">
        <f>ROUND(C355*$E$360/$C$360,0)</f>
        <v>3933567</v>
      </c>
      <c r="G355" s="445">
        <v>7.3</v>
      </c>
      <c r="H355" s="426"/>
      <c r="I355" s="421">
        <f>ROUND($G355*C355,0)</f>
        <v>26356025</v>
      </c>
      <c r="K355" s="421">
        <f>ROUND($G355*E355,0)</f>
        <v>28715039</v>
      </c>
      <c r="M355" s="133">
        <f t="shared" si="120"/>
        <v>8.26</v>
      </c>
      <c r="N355" s="132"/>
      <c r="O355" s="28">
        <f>ROUND(M355*$E355,0)</f>
        <v>32491263</v>
      </c>
      <c r="Q355" s="130">
        <f t="shared" si="122"/>
        <v>-3.73E-2</v>
      </c>
      <c r="R355" s="132"/>
      <c r="S355" s="28">
        <f t="shared" si="123"/>
        <v>-843366.36688931508</v>
      </c>
      <c r="T355" s="79"/>
      <c r="X355" s="45">
        <f t="shared" si="121"/>
        <v>0.1315068493150684</v>
      </c>
    </row>
    <row r="356" spans="1:26">
      <c r="A356" s="40" t="s">
        <v>145</v>
      </c>
      <c r="C356" s="407">
        <v>361137905</v>
      </c>
      <c r="E356" s="407">
        <f>ROUND(C356*$E$360/($C$360-C$359),0)</f>
        <v>394854802</v>
      </c>
      <c r="G356" s="447">
        <v>3.5857999999999999</v>
      </c>
      <c r="H356" s="424" t="s">
        <v>17</v>
      </c>
      <c r="I356" s="421">
        <f>ROUND($G356*C356/100,0)</f>
        <v>12949683</v>
      </c>
      <c r="K356" s="421">
        <f>ROUND($G356*E356/100,0)</f>
        <v>14158703</v>
      </c>
      <c r="M356" s="157">
        <f t="shared" si="120"/>
        <v>4.0587999999999997</v>
      </c>
      <c r="N356" s="48" t="s">
        <v>17</v>
      </c>
      <c r="O356" s="28">
        <f>ROUND(M356*$E356/100,0)</f>
        <v>16026367</v>
      </c>
      <c r="Q356" s="130">
        <f t="shared" si="122"/>
        <v>-3.73E-2</v>
      </c>
      <c r="R356" s="48"/>
      <c r="S356" s="28">
        <f t="shared" si="123"/>
        <v>-415991.79789424659</v>
      </c>
      <c r="T356" s="79"/>
      <c r="X356" s="45">
        <f t="shared" si="121"/>
        <v>0.13190919738970375</v>
      </c>
      <c r="Y356"/>
    </row>
    <row r="357" spans="1:26">
      <c r="A357" s="40" t="s">
        <v>146</v>
      </c>
      <c r="C357" s="407">
        <v>958263312</v>
      </c>
      <c r="E357" s="407">
        <f>ROUND(C357*$E$360/($C$360-C$359),0)</f>
        <v>1047729593</v>
      </c>
      <c r="G357" s="447">
        <v>2.6962999999999999</v>
      </c>
      <c r="H357" s="424" t="s">
        <v>17</v>
      </c>
      <c r="I357" s="421">
        <f>ROUND($G357*C357/100,0)</f>
        <v>25837654</v>
      </c>
      <c r="K357" s="421">
        <f>ROUND($G357*E357/100,0)</f>
        <v>28249933</v>
      </c>
      <c r="M357" s="157">
        <f t="shared" si="120"/>
        <v>3.052</v>
      </c>
      <c r="N357" s="48" t="s">
        <v>17</v>
      </c>
      <c r="O357" s="28">
        <f>ROUND(M357*$E357/100,0)</f>
        <v>31976707</v>
      </c>
      <c r="Q357" s="130">
        <f t="shared" si="122"/>
        <v>-3.73E-2</v>
      </c>
      <c r="R357" s="48"/>
      <c r="S357" s="28">
        <f t="shared" si="123"/>
        <v>-830010.18482027401</v>
      </c>
      <c r="T357" s="79"/>
      <c r="X357" s="45">
        <f t="shared" si="121"/>
        <v>0.13192152208582142</v>
      </c>
    </row>
    <row r="358" spans="1:26">
      <c r="A358" s="40" t="s">
        <v>138</v>
      </c>
      <c r="C358" s="407">
        <v>2207938159</v>
      </c>
      <c r="E358" s="407">
        <f>E360-E356-E357</f>
        <v>2414077757.6560912</v>
      </c>
      <c r="G358" s="447">
        <v>2.2517999999999998</v>
      </c>
      <c r="H358" s="424" t="s">
        <v>17</v>
      </c>
      <c r="I358" s="421">
        <f>ROUND($G358*C358/100,0)</f>
        <v>49718351</v>
      </c>
      <c r="K358" s="421">
        <f>ROUND($G358*E358/100,0)</f>
        <v>54360203</v>
      </c>
      <c r="M358" s="157">
        <f t="shared" si="120"/>
        <v>2.5488</v>
      </c>
      <c r="N358" s="48" t="s">
        <v>17</v>
      </c>
      <c r="O358" s="28">
        <f>ROUND(M358*$E358/100,0)</f>
        <v>61530014</v>
      </c>
      <c r="Q358" s="130">
        <f t="shared" si="122"/>
        <v>-3.73E-2</v>
      </c>
      <c r="R358" s="48"/>
      <c r="S358" s="28">
        <f t="shared" si="123"/>
        <v>-1597116.8729830137</v>
      </c>
      <c r="T358" s="79"/>
      <c r="U358" s="27" t="s">
        <v>26</v>
      </c>
      <c r="V358" s="108">
        <f>O360/K360-1</f>
        <v>0.13202774606280543</v>
      </c>
      <c r="X358" s="45">
        <f t="shared" si="121"/>
        <v>0.13189448441247009</v>
      </c>
      <c r="Z358"/>
    </row>
    <row r="359" spans="1:26">
      <c r="A359" s="40" t="s">
        <v>41</v>
      </c>
      <c r="C359" s="428">
        <v>12488169</v>
      </c>
      <c r="E359" s="428">
        <v>0</v>
      </c>
      <c r="I359" s="429">
        <v>332169</v>
      </c>
      <c r="K359" s="429">
        <v>0</v>
      </c>
      <c r="L359" s="175"/>
      <c r="M359" s="176"/>
      <c r="N359" s="175"/>
      <c r="O359" s="90">
        <v>0</v>
      </c>
      <c r="P359" s="175"/>
      <c r="Q359" s="177"/>
      <c r="R359" s="175"/>
      <c r="S359" s="90"/>
      <c r="U359" s="27" t="s">
        <v>48</v>
      </c>
      <c r="V359" s="123">
        <f>(O360+O361)/(K360+K361)-1</f>
        <v>8.5739255348349142E-2</v>
      </c>
    </row>
    <row r="360" spans="1:26" ht="16.5" thickBot="1">
      <c r="A360" s="40" t="s">
        <v>43</v>
      </c>
      <c r="C360" s="441">
        <f>SUM(C356:C359)</f>
        <v>3539827545</v>
      </c>
      <c r="E360" s="441">
        <v>3856662152.6560912</v>
      </c>
      <c r="G360" s="439"/>
      <c r="I360" s="440">
        <f>SUM(I352:I359)</f>
        <v>154736519</v>
      </c>
      <c r="K360" s="440">
        <f>SUM(K352:K359)</f>
        <v>168537642</v>
      </c>
      <c r="M360" s="115"/>
      <c r="O360" s="114">
        <f>SUM(O352:O359)</f>
        <v>190789287</v>
      </c>
      <c r="Q360" s="116"/>
      <c r="S360" s="114">
        <f>SUM(S352:S359)</f>
        <v>-4595628.9354526028</v>
      </c>
      <c r="V360"/>
    </row>
    <row r="361" spans="1:26" ht="16.5" thickTop="1">
      <c r="A361" s="40" t="s">
        <v>45</v>
      </c>
      <c r="C361" s="407"/>
      <c r="E361" s="407"/>
      <c r="G361" s="433"/>
      <c r="H361" s="434"/>
      <c r="I361" s="429">
        <f>ROUND($I$335*I360/$I$334,0)</f>
        <v>7477886</v>
      </c>
      <c r="K361" s="429">
        <f>$K$335*I361/$I$335</f>
        <v>7185291.5313910907</v>
      </c>
      <c r="M361" s="36"/>
      <c r="N361" s="99"/>
      <c r="O361" s="89">
        <v>0</v>
      </c>
      <c r="Q361" s="36"/>
      <c r="R361" s="99"/>
      <c r="S361" s="89"/>
      <c r="T361" s="28"/>
    </row>
    <row r="362" spans="1:26">
      <c r="A362" s="40" t="s">
        <v>46</v>
      </c>
      <c r="C362" s="407"/>
      <c r="E362" s="407"/>
      <c r="G362" s="433">
        <f>M362</f>
        <v>3.6999999999999998E-2</v>
      </c>
      <c r="H362" s="434"/>
      <c r="I362" s="429">
        <f>ROUND(SUM(I353:I358,I361)*$G362,0)</f>
        <v>5978743</v>
      </c>
      <c r="K362" s="429">
        <f>ROUND(SUM(K353:K358,K361)*$G362,0)</f>
        <v>6490915</v>
      </c>
      <c r="M362" s="119">
        <f>M336</f>
        <v>3.6999999999999998E-2</v>
      </c>
      <c r="N362" s="118"/>
      <c r="O362" s="89">
        <f>ROUND(SUM(O353:O358,O361)*M362,0)</f>
        <v>7046962</v>
      </c>
      <c r="Q362" s="119"/>
      <c r="R362" s="118"/>
      <c r="S362" s="89"/>
      <c r="T362" s="28"/>
    </row>
    <row r="363" spans="1:26">
      <c r="C363" s="407"/>
      <c r="E363" s="407"/>
      <c r="T363" s="28"/>
    </row>
    <row r="364" spans="1:26">
      <c r="A364" s="37" t="s">
        <v>149</v>
      </c>
      <c r="C364" s="407"/>
      <c r="E364" s="407"/>
      <c r="T364" s="28"/>
    </row>
    <row r="365" spans="1:26">
      <c r="A365" s="40" t="s">
        <v>13</v>
      </c>
      <c r="C365" s="407">
        <v>47.999949999999998</v>
      </c>
      <c r="E365" s="407">
        <v>48</v>
      </c>
      <c r="G365" s="445">
        <v>200</v>
      </c>
      <c r="H365" s="426"/>
      <c r="I365" s="421">
        <f>ROUND($G365*C365,0)</f>
        <v>9600</v>
      </c>
      <c r="K365" s="421">
        <f>ROUND($G365*E365,0)</f>
        <v>9600</v>
      </c>
      <c r="M365" s="133">
        <f t="shared" ref="M365:M371" si="124">M326</f>
        <v>226</v>
      </c>
      <c r="N365" s="132"/>
      <c r="O365" s="28">
        <f>ROUND(M365*$E365,0)</f>
        <v>10848</v>
      </c>
      <c r="Q365" s="130"/>
      <c r="R365" s="132"/>
      <c r="S365" s="28"/>
      <c r="T365" s="28"/>
      <c r="X365" s="45">
        <f t="shared" ref="X365:X371" si="125">M365/G365-1</f>
        <v>0.12999999999999989</v>
      </c>
    </row>
    <row r="366" spans="1:26">
      <c r="A366" s="40" t="s">
        <v>135</v>
      </c>
      <c r="C366" s="407">
        <v>850301.00069112203</v>
      </c>
      <c r="E366" s="407">
        <f>ROUND(C366*$E$373/$C$373,0)</f>
        <v>880989</v>
      </c>
      <c r="G366" s="445">
        <v>1.71</v>
      </c>
      <c r="H366" s="426"/>
      <c r="I366" s="421">
        <f>ROUND($G366*C366,0)</f>
        <v>1454015</v>
      </c>
      <c r="K366" s="421">
        <f>ROUND($G366*E366,0)</f>
        <v>1506491</v>
      </c>
      <c r="M366" s="133">
        <f t="shared" si="124"/>
        <v>1.94</v>
      </c>
      <c r="N366" s="132"/>
      <c r="O366" s="28">
        <f>ROUND(M366*$E366,0)</f>
        <v>1709119</v>
      </c>
      <c r="Q366" s="130"/>
      <c r="R366" s="132"/>
      <c r="S366" s="28"/>
      <c r="T366" s="28"/>
      <c r="X366" s="45">
        <f t="shared" si="125"/>
        <v>0.13450292397660824</v>
      </c>
    </row>
    <row r="367" spans="1:26">
      <c r="A367" s="40" t="s">
        <v>136</v>
      </c>
      <c r="C367" s="407">
        <v>369712.000185874</v>
      </c>
      <c r="E367" s="407">
        <f>ROUND(C367*$E$373/$C$373,0)</f>
        <v>383055</v>
      </c>
      <c r="G367" s="445">
        <v>10.76</v>
      </c>
      <c r="H367" s="426"/>
      <c r="I367" s="421">
        <f>ROUND($G367*C367,0)</f>
        <v>3978101</v>
      </c>
      <c r="K367" s="421">
        <f>ROUND($G367*E367,0)</f>
        <v>4121672</v>
      </c>
      <c r="M367" s="133">
        <f t="shared" si="124"/>
        <v>12.18</v>
      </c>
      <c r="N367" s="132"/>
      <c r="O367" s="28">
        <f>ROUND(M367*$E367,0)</f>
        <v>4665610</v>
      </c>
      <c r="Q367" s="130">
        <f t="shared" ref="Q367:Q371" si="126">Q328</f>
        <v>-3.73E-2</v>
      </c>
      <c r="R367" s="132"/>
      <c r="S367" s="28">
        <f t="shared" ref="S367:S371" si="127">O367*Q367*254/365</f>
        <v>-121103.89660821918</v>
      </c>
      <c r="T367" s="28"/>
      <c r="W367"/>
      <c r="X367" s="45">
        <f t="shared" si="125"/>
        <v>0.13197026022304836</v>
      </c>
    </row>
    <row r="368" spans="1:26">
      <c r="A368" s="40" t="s">
        <v>137</v>
      </c>
      <c r="C368" s="407">
        <v>463834</v>
      </c>
      <c r="E368" s="407">
        <f>ROUND(C368*$E$373/$C$373,0)</f>
        <v>480574</v>
      </c>
      <c r="G368" s="445">
        <v>7.3</v>
      </c>
      <c r="H368" s="426"/>
      <c r="I368" s="421">
        <f>ROUND($G368*C368,0)</f>
        <v>3385988</v>
      </c>
      <c r="K368" s="421">
        <f>ROUND($G368*E368,0)</f>
        <v>3508190</v>
      </c>
      <c r="M368" s="133">
        <f t="shared" si="124"/>
        <v>8.26</v>
      </c>
      <c r="N368" s="132"/>
      <c r="O368" s="28">
        <f>ROUND(M368*$E368,0)</f>
        <v>3969541</v>
      </c>
      <c r="Q368" s="130">
        <f t="shared" si="126"/>
        <v>-3.73E-2</v>
      </c>
      <c r="R368" s="132"/>
      <c r="S368" s="28">
        <f t="shared" si="127"/>
        <v>-103036.23381424659</v>
      </c>
      <c r="T368" s="79"/>
      <c r="X368" s="45">
        <f t="shared" si="125"/>
        <v>0.1315068493150684</v>
      </c>
    </row>
    <row r="369" spans="1:26">
      <c r="A369" s="40" t="s">
        <v>145</v>
      </c>
      <c r="C369" s="407">
        <v>47221613</v>
      </c>
      <c r="E369" s="407">
        <f>ROUND(C369*$E$373/($C$373-$C$372),0)</f>
        <v>48815573</v>
      </c>
      <c r="G369" s="447">
        <v>3.5857999999999999</v>
      </c>
      <c r="H369" s="424" t="s">
        <v>17</v>
      </c>
      <c r="I369" s="421">
        <f>ROUND($G369*C369/100,0)</f>
        <v>1693273</v>
      </c>
      <c r="K369" s="421">
        <f>ROUND($G369*E369/100,0)</f>
        <v>1750429</v>
      </c>
      <c r="M369" s="157">
        <f t="shared" si="124"/>
        <v>4.0587999999999997</v>
      </c>
      <c r="N369" s="48" t="s">
        <v>17</v>
      </c>
      <c r="O369" s="28">
        <f>ROUND(M369*$E369/100,0)</f>
        <v>1981326</v>
      </c>
      <c r="Q369" s="130">
        <f t="shared" si="126"/>
        <v>-3.73E-2</v>
      </c>
      <c r="R369" s="48"/>
      <c r="S369" s="28">
        <f t="shared" si="127"/>
        <v>-51428.709011506849</v>
      </c>
      <c r="T369" s="79"/>
      <c r="X369" s="45">
        <f t="shared" si="125"/>
        <v>0.13190919738970375</v>
      </c>
      <c r="Y369"/>
    </row>
    <row r="370" spans="1:26">
      <c r="A370" s="40" t="s">
        <v>146</v>
      </c>
      <c r="C370" s="407">
        <v>120759900</v>
      </c>
      <c r="E370" s="407">
        <f>ROUND(C370*$E$373/($C$373-$C$372),0)</f>
        <v>124836137</v>
      </c>
      <c r="G370" s="447">
        <v>2.6962999999999999</v>
      </c>
      <c r="H370" s="424" t="s">
        <v>17</v>
      </c>
      <c r="I370" s="421">
        <f>ROUND($G370*C370/100,0)</f>
        <v>3256049</v>
      </c>
      <c r="K370" s="421">
        <f>ROUND($G370*E370/100,0)</f>
        <v>3365957</v>
      </c>
      <c r="M370" s="157">
        <f t="shared" si="124"/>
        <v>3.052</v>
      </c>
      <c r="N370" s="48" t="s">
        <v>17</v>
      </c>
      <c r="O370" s="28">
        <f>ROUND(M370*$E370/100,0)</f>
        <v>3809999</v>
      </c>
      <c r="Q370" s="130">
        <f t="shared" si="126"/>
        <v>-3.73E-2</v>
      </c>
      <c r="R370" s="48"/>
      <c r="S370" s="28">
        <f t="shared" si="127"/>
        <v>-98895.048015890425</v>
      </c>
      <c r="T370" s="79"/>
      <c r="X370" s="45">
        <f t="shared" si="125"/>
        <v>0.13192152208582142</v>
      </c>
    </row>
    <row r="371" spans="1:26">
      <c r="A371" s="40" t="s">
        <v>138</v>
      </c>
      <c r="C371" s="407">
        <v>252737087</v>
      </c>
      <c r="E371" s="407">
        <f>E373-E369-E370</f>
        <v>261268200.1163367</v>
      </c>
      <c r="G371" s="447">
        <v>2.2517999999999998</v>
      </c>
      <c r="H371" s="424" t="s">
        <v>17</v>
      </c>
      <c r="I371" s="421">
        <f>ROUND($G371*C371/100,0)</f>
        <v>5691134</v>
      </c>
      <c r="K371" s="421">
        <f>ROUND($G371*E371/100,0)</f>
        <v>5883237</v>
      </c>
      <c r="M371" s="157">
        <f t="shared" si="124"/>
        <v>2.5488</v>
      </c>
      <c r="N371" s="48" t="s">
        <v>17</v>
      </c>
      <c r="O371" s="28">
        <f>ROUND(M371*$E371/100,0)</f>
        <v>6659204</v>
      </c>
      <c r="Q371" s="130">
        <f t="shared" si="126"/>
        <v>-3.73E-2</v>
      </c>
      <c r="R371" s="48"/>
      <c r="S371" s="28">
        <f t="shared" si="127"/>
        <v>-172851.04256657534</v>
      </c>
      <c r="T371" s="79"/>
      <c r="U371" s="27" t="s">
        <v>26</v>
      </c>
      <c r="V371" s="108">
        <f>O373/K373-1</f>
        <v>0.13204243949142969</v>
      </c>
      <c r="X371" s="45">
        <f t="shared" si="125"/>
        <v>0.13189448441247009</v>
      </c>
      <c r="Z371"/>
    </row>
    <row r="372" spans="1:26">
      <c r="A372" s="40" t="s">
        <v>41</v>
      </c>
      <c r="C372" s="428">
        <v>-948637</v>
      </c>
      <c r="E372" s="428">
        <v>0</v>
      </c>
      <c r="I372" s="429">
        <v>64438</v>
      </c>
      <c r="K372" s="429">
        <v>0</v>
      </c>
      <c r="O372" s="90">
        <v>0</v>
      </c>
      <c r="S372" s="90"/>
      <c r="U372" s="27" t="s">
        <v>48</v>
      </c>
      <c r="V372" s="123">
        <f>(O373+O374)/(K373+K374)-1</f>
        <v>8.3270623749814421E-2</v>
      </c>
      <c r="W372" s="117"/>
    </row>
    <row r="373" spans="1:26" ht="16.5" thickBot="1">
      <c r="A373" s="40" t="s">
        <v>43</v>
      </c>
      <c r="C373" s="441">
        <f>SUM(C369:C372)</f>
        <v>419769963</v>
      </c>
      <c r="E373" s="441">
        <v>434919910.1163367</v>
      </c>
      <c r="G373" s="439"/>
      <c r="I373" s="440">
        <f>SUM(I365:I372)</f>
        <v>19532598</v>
      </c>
      <c r="K373" s="440">
        <f>SUM(K365:K372)</f>
        <v>20145576</v>
      </c>
      <c r="M373" s="115"/>
      <c r="O373" s="114">
        <f>SUM(O365:O372)</f>
        <v>22805647</v>
      </c>
      <c r="Q373" s="116"/>
      <c r="S373" s="114">
        <f>SUM(S365:S372)</f>
        <v>-547314.93001643836</v>
      </c>
      <c r="V373"/>
      <c r="W373" s="117"/>
    </row>
    <row r="374" spans="1:26" ht="16.5" thickTop="1">
      <c r="A374" s="40" t="s">
        <v>45</v>
      </c>
      <c r="C374" s="407"/>
      <c r="E374" s="407"/>
      <c r="G374" s="433"/>
      <c r="H374" s="434"/>
      <c r="I374" s="429">
        <f>I335-I348-I361</f>
        <v>943943.70370000042</v>
      </c>
      <c r="K374" s="429">
        <f>$K$335*I374/$I$335</f>
        <v>907009.10662526195</v>
      </c>
      <c r="M374" s="36"/>
      <c r="N374" s="99"/>
      <c r="O374" s="89">
        <v>0</v>
      </c>
      <c r="Q374" s="36"/>
      <c r="R374" s="99"/>
      <c r="S374" s="89"/>
      <c r="T374" s="28"/>
      <c r="W374" s="117"/>
      <c r="X374" s="117"/>
      <c r="Y374" s="28"/>
    </row>
    <row r="375" spans="1:26">
      <c r="A375" s="40" t="s">
        <v>46</v>
      </c>
      <c r="C375" s="407"/>
      <c r="E375" s="407"/>
      <c r="G375" s="433">
        <f>M375</f>
        <v>3.6999999999999998E-2</v>
      </c>
      <c r="H375" s="434"/>
      <c r="I375" s="429">
        <f>ROUND(SUM(I366:I371,I374)*$G375,0)</f>
        <v>754893</v>
      </c>
      <c r="K375" s="429">
        <f>ROUND(SUM(K366:K371,K374)*$G375,0)</f>
        <v>778590</v>
      </c>
      <c r="M375" s="119">
        <f>M362</f>
        <v>3.6999999999999998E-2</v>
      </c>
      <c r="N375" s="118"/>
      <c r="O375" s="89">
        <f>ROUND(SUM(O366:O371,O374)*M375,0)</f>
        <v>843408</v>
      </c>
      <c r="Q375" s="119"/>
      <c r="R375" s="118"/>
      <c r="S375" s="89"/>
      <c r="T375" s="28"/>
      <c r="X375" s="117"/>
      <c r="Y375" s="28"/>
    </row>
    <row r="376" spans="1:26">
      <c r="C376" s="407"/>
      <c r="E376" s="407"/>
      <c r="T376" s="28"/>
      <c r="W376" s="86"/>
      <c r="X376" s="117"/>
      <c r="Y376" s="28"/>
      <c r="Z376" s="120"/>
    </row>
    <row r="377" spans="1:26">
      <c r="A377" s="37" t="s">
        <v>150</v>
      </c>
      <c r="C377" s="407"/>
      <c r="E377" s="407"/>
      <c r="G377" s="444"/>
      <c r="H377" s="443"/>
      <c r="M377" s="129"/>
      <c r="N377" s="125"/>
      <c r="Q377" s="130"/>
      <c r="R377" s="125"/>
      <c r="T377" s="28"/>
      <c r="W377" s="52" t="s">
        <v>151</v>
      </c>
      <c r="Y377" s="28"/>
      <c r="Z377" s="120"/>
    </row>
    <row r="378" spans="1:26">
      <c r="A378" s="40" t="s">
        <v>13</v>
      </c>
      <c r="C378" s="407">
        <v>24.000016666666699</v>
      </c>
      <c r="E378" s="407">
        <v>24</v>
      </c>
      <c r="G378" s="237">
        <v>200</v>
      </c>
      <c r="H378" s="420"/>
      <c r="I378" s="421">
        <f>ROUND($G378*C378,0)</f>
        <v>4800</v>
      </c>
      <c r="K378" s="421">
        <f>ROUND($G378*E378,0)</f>
        <v>4800</v>
      </c>
      <c r="M378" s="101">
        <f>M326</f>
        <v>226</v>
      </c>
      <c r="N378" s="100"/>
      <c r="O378" s="28">
        <f>ROUND(M378*$E378,0)</f>
        <v>5424</v>
      </c>
      <c r="Q378" s="102"/>
      <c r="R378" s="100"/>
      <c r="S378" s="28"/>
      <c r="T378" s="28"/>
      <c r="U378" s="38"/>
      <c r="V378" s="79"/>
      <c r="W378" s="190">
        <f>S384+S394</f>
        <v>-122008.11169534246</v>
      </c>
      <c r="X378" s="45">
        <f t="shared" ref="X378:X382" si="128">M378/G378-1</f>
        <v>0.12999999999999989</v>
      </c>
      <c r="Y378" s="28"/>
      <c r="Z378" s="120"/>
    </row>
    <row r="379" spans="1:26">
      <c r="A379" s="40" t="s">
        <v>152</v>
      </c>
      <c r="C379" s="407">
        <v>0</v>
      </c>
      <c r="E379" s="407">
        <v>0</v>
      </c>
      <c r="G379" s="237">
        <v>0</v>
      </c>
      <c r="H379" s="420"/>
      <c r="I379" s="421">
        <f>ROUND($G379*C379,0)</f>
        <v>0</v>
      </c>
      <c r="K379" s="421">
        <f>ROUND($G379*E379,0)</f>
        <v>0</v>
      </c>
      <c r="M379" s="43">
        <v>0</v>
      </c>
      <c r="N379" s="42"/>
      <c r="O379" s="28">
        <f>ROUND(M379*$E379,0)</f>
        <v>0</v>
      </c>
      <c r="Q379" s="44"/>
      <c r="R379" s="42"/>
      <c r="S379" s="28"/>
      <c r="T379" s="79"/>
      <c r="U379" s="38"/>
      <c r="V379" s="79"/>
      <c r="W379" s="190">
        <f>SUM(K384:K385,K394:K395)*Stipulation!I11</f>
        <v>-122106.41118277879</v>
      </c>
      <c r="X379" s="45" t="e">
        <f t="shared" si="128"/>
        <v>#DIV/0!</v>
      </c>
      <c r="Z379" s="120"/>
    </row>
    <row r="380" spans="1:26">
      <c r="A380" s="40" t="s">
        <v>153</v>
      </c>
      <c r="C380" s="407">
        <v>79119</v>
      </c>
      <c r="E380" s="407">
        <f>ROUND(C380*$E$384/$C$384,0)</f>
        <v>109222</v>
      </c>
      <c r="G380" s="237">
        <v>1.71</v>
      </c>
      <c r="H380" s="420"/>
      <c r="I380" s="421">
        <f>ROUND($G380*C380,0)</f>
        <v>135293</v>
      </c>
      <c r="K380" s="421">
        <f>ROUND($G380*E380,0)</f>
        <v>186770</v>
      </c>
      <c r="M380" s="101">
        <f>M327</f>
        <v>1.94</v>
      </c>
      <c r="N380" s="100"/>
      <c r="O380" s="28">
        <f>ROUND(M380*$E380,0)</f>
        <v>211891</v>
      </c>
      <c r="Q380" s="102"/>
      <c r="R380" s="100"/>
      <c r="S380" s="28"/>
      <c r="T380" s="79"/>
      <c r="U380" s="122"/>
      <c r="V380" s="79"/>
      <c r="W380" s="191">
        <f>W379-W378</f>
        <v>-98.299487436321215</v>
      </c>
      <c r="X380" s="45">
        <f t="shared" si="128"/>
        <v>0.13450292397660824</v>
      </c>
      <c r="Y380" s="28"/>
      <c r="Z380"/>
    </row>
    <row r="381" spans="1:26">
      <c r="A381" s="40" t="s">
        <v>154</v>
      </c>
      <c r="C381" s="407">
        <v>11658000</v>
      </c>
      <c r="E381" s="407">
        <f>ROUND(C381*($E$384-$E$383)/($C$384-$C$383),0)</f>
        <v>16140604</v>
      </c>
      <c r="G381" s="438">
        <v>6.6246999999999998</v>
      </c>
      <c r="H381" s="424" t="s">
        <v>17</v>
      </c>
      <c r="I381" s="421">
        <f>ROUND($G381*C381/100,0)</f>
        <v>772308</v>
      </c>
      <c r="K381" s="421">
        <f>ROUND($G381*E381/100,0)</f>
        <v>1069267</v>
      </c>
      <c r="M381" s="183">
        <f>ROUND(G381*(1+$V$331+$V$334),4)</f>
        <v>7.4984999999999999</v>
      </c>
      <c r="N381" s="48" t="s">
        <v>17</v>
      </c>
      <c r="O381" s="28">
        <f>ROUND(M381*$E381/100,0)</f>
        <v>1210303</v>
      </c>
      <c r="Q381" s="83">
        <f>$W$382</f>
        <v>-5.9299999999999999E-2</v>
      </c>
      <c r="R381" s="48"/>
      <c r="S381" s="28">
        <f t="shared" ref="S381:S382" si="129">O381*Q381*254/365</f>
        <v>-49944.728346849311</v>
      </c>
      <c r="T381" s="79"/>
      <c r="U381" s="85"/>
      <c r="V381" s="123"/>
      <c r="W381" s="38" t="s">
        <v>144</v>
      </c>
      <c r="X381" s="45">
        <f t="shared" si="128"/>
        <v>0.13190031246697975</v>
      </c>
      <c r="Z381"/>
    </row>
    <row r="382" spans="1:26">
      <c r="A382" s="40" t="s">
        <v>138</v>
      </c>
      <c r="C382" s="407">
        <v>13185600</v>
      </c>
      <c r="E382" s="407">
        <f>E384-E381</f>
        <v>18255580</v>
      </c>
      <c r="G382" s="438">
        <v>2.8479000000000001</v>
      </c>
      <c r="H382" s="424" t="s">
        <v>17</v>
      </c>
      <c r="I382" s="421">
        <f>ROUND($G382*C382/100,0)</f>
        <v>375513</v>
      </c>
      <c r="K382" s="421">
        <f>ROUND($G382*E382/100,0)</f>
        <v>519901</v>
      </c>
      <c r="M382" s="183">
        <f>ROUND(G382*(1+$V$331+$V$334),4)</f>
        <v>3.2235999999999998</v>
      </c>
      <c r="N382" s="48" t="s">
        <v>17</v>
      </c>
      <c r="O382" s="28">
        <f>ROUND(M382*$E382/100,0)</f>
        <v>588487</v>
      </c>
      <c r="Q382" s="83">
        <f>$W$382</f>
        <v>-5.9299999999999999E-2</v>
      </c>
      <c r="R382" s="48"/>
      <c r="S382" s="28">
        <f t="shared" si="129"/>
        <v>-24284.681894246576</v>
      </c>
      <c r="T382" s="79"/>
      <c r="U382" s="85"/>
      <c r="V382" s="123"/>
      <c r="W382" s="49">
        <f>ROUND(W379/SUM(O381:O382,O391:O392)*365/254,4)</f>
        <v>-5.9299999999999999E-2</v>
      </c>
      <c r="X382" s="45">
        <f t="shared" si="128"/>
        <v>0.13192176691597313</v>
      </c>
      <c r="Y382" s="135"/>
      <c r="Z382"/>
    </row>
    <row r="383" spans="1:26">
      <c r="A383" s="40" t="s">
        <v>41</v>
      </c>
      <c r="C383" s="428">
        <v>72654</v>
      </c>
      <c r="E383" s="428">
        <v>0</v>
      </c>
      <c r="I383" s="429">
        <v>6065</v>
      </c>
      <c r="K383" s="429">
        <v>0</v>
      </c>
      <c r="M383" s="15"/>
      <c r="O383" s="90">
        <v>0</v>
      </c>
      <c r="Q383" s="141"/>
      <c r="S383" s="90"/>
      <c r="U383" s="85"/>
      <c r="V383" s="123"/>
    </row>
    <row r="384" spans="1:26" ht="16.5" thickBot="1">
      <c r="A384" s="40" t="s">
        <v>43</v>
      </c>
      <c r="C384" s="441">
        <f>SUM(C381:C383)</f>
        <v>24916254</v>
      </c>
      <c r="E384" s="441">
        <v>34396184</v>
      </c>
      <c r="G384" s="439"/>
      <c r="I384" s="440">
        <f>SUM(I378:I383)</f>
        <v>1293979</v>
      </c>
      <c r="K384" s="440">
        <f>SUM(K378:K383)</f>
        <v>1780738</v>
      </c>
      <c r="M384" s="113"/>
      <c r="O384" s="114">
        <f>SUM(O378:O383)</f>
        <v>2016105</v>
      </c>
      <c r="Q384" s="143"/>
      <c r="S384" s="114">
        <f>SUM(S378:S383)</f>
        <v>-74229.410241095888</v>
      </c>
      <c r="U384" s="27" t="s">
        <v>26</v>
      </c>
      <c r="V384" s="108">
        <f>O384/K384-1</f>
        <v>0.13217385151549532</v>
      </c>
    </row>
    <row r="385" spans="1:26" ht="16.5" thickTop="1">
      <c r="A385" s="40" t="s">
        <v>45</v>
      </c>
      <c r="C385" s="407"/>
      <c r="E385" s="407"/>
      <c r="G385" s="433"/>
      <c r="H385" s="434"/>
      <c r="I385" s="429">
        <v>69877</v>
      </c>
      <c r="K385" s="429">
        <f>I385</f>
        <v>69877</v>
      </c>
      <c r="M385" s="36"/>
      <c r="N385" s="99"/>
      <c r="O385" s="89">
        <v>0</v>
      </c>
      <c r="Q385" s="36"/>
      <c r="R385" s="99"/>
      <c r="S385" s="89"/>
      <c r="T385" s="28"/>
      <c r="U385" s="85" t="s">
        <v>48</v>
      </c>
      <c r="V385" s="123">
        <f>(O384+O385)/(K384+K385)-1</f>
        <v>8.9424326507674401E-2</v>
      </c>
    </row>
    <row r="386" spans="1:26">
      <c r="A386" s="40" t="s">
        <v>46</v>
      </c>
      <c r="C386" s="407"/>
      <c r="E386" s="407"/>
      <c r="G386" s="433">
        <f>M386</f>
        <v>3.6999999999999998E-2</v>
      </c>
      <c r="H386" s="434"/>
      <c r="I386" s="429">
        <f>ROUND(SUM(I380:I382,I385)*$G386,0)</f>
        <v>50061</v>
      </c>
      <c r="K386" s="429">
        <f>ROUND(SUM(K380:K382,K385)*$G386,0)</f>
        <v>68295</v>
      </c>
      <c r="M386" s="36">
        <v>3.6999999999999998E-2</v>
      </c>
      <c r="N386" s="99"/>
      <c r="O386" s="89">
        <f>ROUND(SUM(O380:O382,O385)*M386,0)</f>
        <v>74395</v>
      </c>
      <c r="Q386" s="36"/>
      <c r="R386" s="99"/>
      <c r="S386" s="89"/>
      <c r="T386" s="28"/>
    </row>
    <row r="387" spans="1:26">
      <c r="C387" s="407"/>
      <c r="E387" s="407"/>
      <c r="T387" s="28"/>
    </row>
    <row r="388" spans="1:26">
      <c r="A388" s="37" t="s">
        <v>155</v>
      </c>
      <c r="C388" s="407"/>
      <c r="E388" s="407"/>
      <c r="G388" s="444"/>
      <c r="H388" s="443"/>
      <c r="M388" s="129"/>
      <c r="N388" s="125"/>
      <c r="Q388" s="130"/>
      <c r="R388" s="125"/>
      <c r="T388" s="28"/>
      <c r="W388"/>
    </row>
    <row r="389" spans="1:26">
      <c r="A389" s="40" t="s">
        <v>13</v>
      </c>
      <c r="C389" s="407">
        <v>84.000127290260394</v>
      </c>
      <c r="E389" s="407">
        <v>84</v>
      </c>
      <c r="G389" s="445">
        <v>200</v>
      </c>
      <c r="H389" s="426"/>
      <c r="I389" s="421">
        <f>ROUND($G389*C389,0)</f>
        <v>16800</v>
      </c>
      <c r="K389" s="421">
        <f>ROUND($G389*E389,0)</f>
        <v>16800</v>
      </c>
      <c r="M389" s="133">
        <f>M378</f>
        <v>226</v>
      </c>
      <c r="N389" s="132"/>
      <c r="O389" s="28">
        <f>ROUND(M389*$E389,0)</f>
        <v>18984</v>
      </c>
      <c r="Q389" s="130"/>
      <c r="R389" s="132"/>
      <c r="S389" s="28"/>
      <c r="T389" s="79"/>
      <c r="X389" s="45">
        <f t="shared" ref="X389:X392" si="130">M389/G389-1</f>
        <v>0.12999999999999989</v>
      </c>
    </row>
    <row r="390" spans="1:26">
      <c r="A390" s="40" t="s">
        <v>153</v>
      </c>
      <c r="C390" s="407">
        <v>175509.01297941798</v>
      </c>
      <c r="E390" s="407">
        <f>ROUND(C390*$E$394/$C$394,0)</f>
        <v>178334</v>
      </c>
      <c r="G390" s="445">
        <v>1.71</v>
      </c>
      <c r="H390" s="426"/>
      <c r="I390" s="421">
        <f>ROUND($G390*C390,0)</f>
        <v>300120</v>
      </c>
      <c r="K390" s="421">
        <f>ROUND($G390*E390,0)</f>
        <v>304951</v>
      </c>
      <c r="M390" s="133">
        <f>M380</f>
        <v>1.94</v>
      </c>
      <c r="N390" s="132"/>
      <c r="O390" s="28">
        <f>ROUND(M390*$E390,0)</f>
        <v>345968</v>
      </c>
      <c r="Q390" s="130"/>
      <c r="R390" s="132"/>
      <c r="S390" s="28"/>
      <c r="T390" s="79"/>
      <c r="X390" s="45">
        <f t="shared" si="130"/>
        <v>0.13450292397660824</v>
      </c>
      <c r="Y390"/>
    </row>
    <row r="391" spans="1:26">
      <c r="A391" s="40" t="s">
        <v>154</v>
      </c>
      <c r="C391" s="407">
        <v>12717239</v>
      </c>
      <c r="E391" s="407">
        <f>ROUND(C391*($E$394-$E$393)/($C$394-$C$393),0)</f>
        <v>12967672</v>
      </c>
      <c r="G391" s="447">
        <v>6.6246999999999998</v>
      </c>
      <c r="H391" s="424" t="s">
        <v>17</v>
      </c>
      <c r="I391" s="421">
        <f>ROUND($G391*C391/100,0)</f>
        <v>842479</v>
      </c>
      <c r="K391" s="421">
        <f>ROUND($G391*E391/100,0)</f>
        <v>859069</v>
      </c>
      <c r="M391" s="157">
        <f>M381</f>
        <v>7.4984999999999999</v>
      </c>
      <c r="N391" s="48" t="s">
        <v>17</v>
      </c>
      <c r="O391" s="28">
        <f>ROUND(M391*$E391/100,0)</f>
        <v>972381</v>
      </c>
      <c r="Q391" s="130">
        <f>Q381</f>
        <v>-5.9299999999999999E-2</v>
      </c>
      <c r="R391" s="48"/>
      <c r="S391" s="28">
        <f t="shared" ref="S391:S392" si="131">O391*Q391*254/365</f>
        <v>-40126.567392328761</v>
      </c>
      <c r="T391" s="79"/>
      <c r="X391" s="45">
        <f t="shared" si="130"/>
        <v>0.13190031246697975</v>
      </c>
    </row>
    <row r="392" spans="1:26">
      <c r="A392" s="40" t="s">
        <v>138</v>
      </c>
      <c r="C392" s="407">
        <v>5641263</v>
      </c>
      <c r="E392" s="407">
        <f>E394-E391</f>
        <v>5752352.4114926457</v>
      </c>
      <c r="G392" s="447">
        <v>2.8479000000000001</v>
      </c>
      <c r="H392" s="424" t="s">
        <v>17</v>
      </c>
      <c r="I392" s="421">
        <f>ROUND($G392*C392/100,0)</f>
        <v>160658</v>
      </c>
      <c r="K392" s="421">
        <f>ROUND($G392*E392/100,0)</f>
        <v>163821</v>
      </c>
      <c r="M392" s="157">
        <f>M382</f>
        <v>3.2235999999999998</v>
      </c>
      <c r="N392" s="48" t="s">
        <v>17</v>
      </c>
      <c r="O392" s="28">
        <f>ROUND(M392*$E392/100,0)</f>
        <v>185433</v>
      </c>
      <c r="Q392" s="130">
        <f>Q382</f>
        <v>-5.9299999999999999E-2</v>
      </c>
      <c r="R392" s="48"/>
      <c r="S392" s="28">
        <f t="shared" si="131"/>
        <v>-7652.1340619178081</v>
      </c>
      <c r="T392" s="79"/>
      <c r="U392" s="27" t="s">
        <v>26</v>
      </c>
      <c r="V392" s="108">
        <f>O394/K394-1</f>
        <v>0.1324703024822238</v>
      </c>
      <c r="X392" s="45">
        <f t="shared" si="130"/>
        <v>0.13192176691597313</v>
      </c>
      <c r="Z392"/>
    </row>
    <row r="393" spans="1:26">
      <c r="A393" s="40" t="s">
        <v>41</v>
      </c>
      <c r="C393" s="428">
        <v>64996</v>
      </c>
      <c r="E393" s="428">
        <v>0</v>
      </c>
      <c r="I393" s="429">
        <v>2843</v>
      </c>
      <c r="K393" s="429">
        <v>0</v>
      </c>
      <c r="L393" s="175"/>
      <c r="M393" s="176"/>
      <c r="N393" s="175"/>
      <c r="O393" s="90">
        <v>0</v>
      </c>
      <c r="P393" s="175"/>
      <c r="Q393" s="177"/>
      <c r="R393" s="175"/>
      <c r="S393" s="90"/>
      <c r="U393" s="27" t="s">
        <v>48</v>
      </c>
      <c r="V393" s="123">
        <f>(O394+O395)/(K394+K395)-1</f>
        <v>7.5339330679691008E-2</v>
      </c>
    </row>
    <row r="394" spans="1:26" ht="16.5" thickBot="1">
      <c r="A394" s="40" t="s">
        <v>43</v>
      </c>
      <c r="C394" s="441">
        <f>SUM(C391:C393)</f>
        <v>18423498</v>
      </c>
      <c r="E394" s="441">
        <v>18720024.411492646</v>
      </c>
      <c r="G394" s="439"/>
      <c r="I394" s="440">
        <f>SUM(I389:I393)</f>
        <v>1322900</v>
      </c>
      <c r="K394" s="440">
        <f>SUM(K389:K393)</f>
        <v>1344641</v>
      </c>
      <c r="M394" s="115"/>
      <c r="O394" s="114">
        <f>SUM(O389:O393)</f>
        <v>1522766</v>
      </c>
      <c r="Q394" s="116"/>
      <c r="S394" s="114">
        <f>SUM(S389:S393)</f>
        <v>-47778.701454246569</v>
      </c>
      <c r="V394"/>
      <c r="W394" s="117"/>
    </row>
    <row r="395" spans="1:26" ht="16.5" thickTop="1">
      <c r="A395" s="40" t="s">
        <v>45</v>
      </c>
      <c r="C395" s="407"/>
      <c r="E395" s="407"/>
      <c r="G395" s="433"/>
      <c r="H395" s="434"/>
      <c r="I395" s="429">
        <v>71438.516999999993</v>
      </c>
      <c r="K395" s="429">
        <f>I395</f>
        <v>71438.516999999993</v>
      </c>
      <c r="M395" s="36"/>
      <c r="N395" s="99"/>
      <c r="O395" s="89">
        <v>0</v>
      </c>
      <c r="Q395" s="36"/>
      <c r="R395" s="99"/>
      <c r="S395" s="89"/>
      <c r="T395" s="28"/>
    </row>
    <row r="396" spans="1:26">
      <c r="A396" s="40" t="s">
        <v>46</v>
      </c>
      <c r="C396" s="407"/>
      <c r="E396" s="407"/>
      <c r="G396" s="433">
        <f>M396</f>
        <v>3.6999999999999998E-2</v>
      </c>
      <c r="H396" s="434"/>
      <c r="I396" s="429">
        <f>ROUND(SUM(I390:I392,I395)*$G396,0)</f>
        <v>50864</v>
      </c>
      <c r="K396" s="429">
        <f>ROUND(SUM(K390:K392,K395)*$G396,0)</f>
        <v>51773</v>
      </c>
      <c r="M396" s="119">
        <f>M386</f>
        <v>3.6999999999999998E-2</v>
      </c>
      <c r="N396" s="118"/>
      <c r="O396" s="89">
        <f>ROUND(SUM(O390:O392,O395)*M396,0)</f>
        <v>55640</v>
      </c>
      <c r="Q396" s="119"/>
      <c r="R396" s="118"/>
      <c r="S396" s="89"/>
      <c r="T396" s="28"/>
      <c r="W396" s="117"/>
      <c r="X396" s="117"/>
      <c r="Y396" s="28"/>
    </row>
    <row r="397" spans="1:26">
      <c r="C397" s="407"/>
      <c r="E397" s="407"/>
      <c r="T397" s="28"/>
      <c r="W397" s="117"/>
    </row>
    <row r="398" spans="1:26">
      <c r="A398" s="37" t="s">
        <v>156</v>
      </c>
      <c r="T398" s="28"/>
      <c r="X398" s="117"/>
      <c r="Y398" s="28"/>
      <c r="Z398" s="120"/>
    </row>
    <row r="399" spans="1:26">
      <c r="A399" s="40" t="s">
        <v>157</v>
      </c>
      <c r="C399" s="407">
        <v>1</v>
      </c>
      <c r="E399" s="407">
        <v>1</v>
      </c>
      <c r="G399" s="445">
        <v>98</v>
      </c>
      <c r="H399" s="426"/>
      <c r="I399" s="421">
        <f>ROUND($G399*C399,0)</f>
        <v>98</v>
      </c>
      <c r="K399" s="421">
        <f>ROUND($G399*E399,0)</f>
        <v>98</v>
      </c>
      <c r="M399" s="78">
        <f>ROUND(G399*(1+$V$408),0)</f>
        <v>110</v>
      </c>
      <c r="N399" s="77"/>
      <c r="O399" s="28">
        <f>ROUND(M399*$E399,0)</f>
        <v>110</v>
      </c>
      <c r="Q399" s="80"/>
      <c r="R399" s="77"/>
      <c r="S399" s="28"/>
      <c r="T399" s="28"/>
      <c r="X399" s="45">
        <f t="shared" ref="X399:X405" si="132">M399/G399-1</f>
        <v>0.12244897959183665</v>
      </c>
      <c r="Y399" s="28"/>
    </row>
    <row r="400" spans="1:26">
      <c r="A400" s="40" t="s">
        <v>158</v>
      </c>
      <c r="C400" s="407">
        <v>2484.4848275862087</v>
      </c>
      <c r="E400" s="407">
        <v>2610</v>
      </c>
      <c r="G400" s="445">
        <v>30</v>
      </c>
      <c r="H400" s="426"/>
      <c r="I400" s="421">
        <f>ROUND($G400*C400,0)</f>
        <v>74535</v>
      </c>
      <c r="K400" s="421">
        <f>ROUND($G400*E400,0)</f>
        <v>78300</v>
      </c>
      <c r="M400" s="78">
        <f t="shared" ref="M400:M401" si="133">ROUND(G400*(1+$V$408),0)</f>
        <v>34</v>
      </c>
      <c r="N400" s="77"/>
      <c r="O400" s="28">
        <f>ROUND(M400*$E400,0)</f>
        <v>88740</v>
      </c>
      <c r="Q400" s="80"/>
      <c r="R400" s="77"/>
      <c r="S400" s="28"/>
      <c r="T400" s="28"/>
      <c r="U400" s="101"/>
      <c r="X400" s="45">
        <f t="shared" si="132"/>
        <v>0.1333333333333333</v>
      </c>
      <c r="Z400" s="120"/>
    </row>
    <row r="401" spans="1:26">
      <c r="A401" s="40" t="s">
        <v>159</v>
      </c>
      <c r="C401" s="407">
        <v>0</v>
      </c>
      <c r="E401" s="407">
        <f>ROUND(C401*(E$399+E$400)/(C$399+C$400),0)</f>
        <v>0</v>
      </c>
      <c r="G401" s="445">
        <v>12</v>
      </c>
      <c r="H401" s="426"/>
      <c r="I401" s="421">
        <f>ROUND($G401*C401,0)</f>
        <v>0</v>
      </c>
      <c r="K401" s="421">
        <f>ROUND($G401*E401,0)</f>
        <v>0</v>
      </c>
      <c r="M401" s="78">
        <f t="shared" si="133"/>
        <v>13</v>
      </c>
      <c r="N401" s="77"/>
      <c r="O401" s="28">
        <f>ROUND(M401*$E401,0)</f>
        <v>0</v>
      </c>
      <c r="Q401" s="80"/>
      <c r="R401" s="77"/>
      <c r="S401" s="28"/>
      <c r="T401" s="79"/>
      <c r="U401" s="101"/>
      <c r="W401" s="117"/>
      <c r="X401" s="45">
        <f t="shared" si="132"/>
        <v>8.3333333333333259E-2</v>
      </c>
      <c r="Z401" s="120"/>
    </row>
    <row r="402" spans="1:26">
      <c r="A402" s="40" t="s">
        <v>160</v>
      </c>
      <c r="C402" s="407">
        <v>349882.25347929023</v>
      </c>
      <c r="E402" s="407">
        <f>ROUND(C402*$E$412/$C$412,0)</f>
        <v>355317</v>
      </c>
      <c r="G402" s="445">
        <v>5.75</v>
      </c>
      <c r="H402" s="426"/>
      <c r="I402" s="421">
        <f>ROUND($G402*C402,0)</f>
        <v>2011823</v>
      </c>
      <c r="K402" s="421">
        <f>ROUND($G402*E402,0)</f>
        <v>2043073</v>
      </c>
      <c r="M402" s="78">
        <f>ROUND(G402*(1+V$410),2)</f>
        <v>6.44</v>
      </c>
      <c r="N402" s="77"/>
      <c r="O402" s="28">
        <f>ROUND(M402*$E402,0)</f>
        <v>2288241</v>
      </c>
      <c r="Q402" s="80">
        <f>$W$409</f>
        <v>-2.7E-2</v>
      </c>
      <c r="R402" s="77"/>
      <c r="S402" s="28">
        <f t="shared" ref="S402" si="134">O402*Q402*254/365</f>
        <v>-42993.854186301367</v>
      </c>
      <c r="T402" s="79"/>
      <c r="V402" s="135"/>
      <c r="W402" s="117"/>
      <c r="X402" s="45">
        <f t="shared" si="132"/>
        <v>0.12000000000000011</v>
      </c>
    </row>
    <row r="403" spans="1:26">
      <c r="A403" s="40" t="s">
        <v>64</v>
      </c>
      <c r="C403" s="407">
        <v>3</v>
      </c>
      <c r="E403" s="407">
        <f>ROUND(C403*$E$412/$C$412,0)</f>
        <v>3</v>
      </c>
      <c r="G403" s="445">
        <v>-1.61</v>
      </c>
      <c r="H403" s="426"/>
      <c r="I403" s="421">
        <f>ROUND($G403*C403,0)</f>
        <v>-5</v>
      </c>
      <c r="K403" s="421">
        <f>ROUND($G403*E403,0)</f>
        <v>-5</v>
      </c>
      <c r="M403" s="78">
        <f>ROUND(G403*(1+V$410),2)</f>
        <v>-1.8</v>
      </c>
      <c r="N403" s="77"/>
      <c r="O403" s="28">
        <f>ROUND(M403*$E403,0)</f>
        <v>-5</v>
      </c>
      <c r="Q403" s="80"/>
      <c r="R403" s="77"/>
      <c r="S403" s="28"/>
      <c r="U403" s="192"/>
      <c r="V403" s="135"/>
      <c r="X403" s="45">
        <f t="shared" si="132"/>
        <v>0.11801242236024834</v>
      </c>
      <c r="Y403" s="28"/>
    </row>
    <row r="404" spans="1:26">
      <c r="A404" s="40" t="s">
        <v>161</v>
      </c>
      <c r="C404" s="407">
        <v>79713146</v>
      </c>
      <c r="E404" s="407">
        <f>ROUND(C404*$E$406/$C$406,0)</f>
        <v>78875890</v>
      </c>
      <c r="G404" s="438">
        <v>5.7252000000000001</v>
      </c>
      <c r="H404" s="424" t="s">
        <v>17</v>
      </c>
      <c r="I404" s="421">
        <f>ROUND($G404*C404/100,0)</f>
        <v>4563737</v>
      </c>
      <c r="K404" s="421">
        <f>ROUND($G404*E404/100,0)</f>
        <v>4515802</v>
      </c>
      <c r="M404" s="110">
        <f>ROUND(G404*(1+V$410),4)</f>
        <v>6.4139999999999997</v>
      </c>
      <c r="N404" s="48" t="s">
        <v>17</v>
      </c>
      <c r="O404" s="28">
        <f>ROUND(M404*$E404/100,0)</f>
        <v>5059100</v>
      </c>
      <c r="Q404" s="80">
        <f t="shared" ref="Q404:Q405" si="135">$W$409</f>
        <v>-2.7E-2</v>
      </c>
      <c r="R404" s="48"/>
      <c r="S404" s="28">
        <f t="shared" ref="S404:S405" si="136">O404*Q404*254/365</f>
        <v>-95055.637808219195</v>
      </c>
      <c r="T404" s="79"/>
      <c r="U404" s="27" t="s">
        <v>162</v>
      </c>
      <c r="W404" s="52" t="s">
        <v>4</v>
      </c>
      <c r="X404" s="45">
        <f t="shared" si="132"/>
        <v>0.12031020750366794</v>
      </c>
      <c r="Y404" s="28"/>
    </row>
    <row r="405" spans="1:26">
      <c r="A405" s="40" t="s">
        <v>163</v>
      </c>
      <c r="C405" s="428">
        <v>49875711</v>
      </c>
      <c r="E405" s="428">
        <f>E406-E404</f>
        <v>49351848</v>
      </c>
      <c r="G405" s="438">
        <v>4.2317999999999998</v>
      </c>
      <c r="H405" s="424" t="s">
        <v>17</v>
      </c>
      <c r="I405" s="429">
        <f>ROUND($G405*C405/100,0)</f>
        <v>2110640</v>
      </c>
      <c r="K405" s="429">
        <f>ROUND($G405*E405/100,0)</f>
        <v>2088472</v>
      </c>
      <c r="M405" s="110">
        <f>ROUND(G405*(1+V$410),4)</f>
        <v>4.7408999999999999</v>
      </c>
      <c r="N405" s="48" t="s">
        <v>17</v>
      </c>
      <c r="O405" s="89">
        <f>ROUND(M405*$E405/100,0)</f>
        <v>2339722</v>
      </c>
      <c r="Q405" s="80">
        <f t="shared" si="135"/>
        <v>-2.7E-2</v>
      </c>
      <c r="R405" s="48"/>
      <c r="S405" s="89">
        <f t="shared" si="136"/>
        <v>-43961.132810958901</v>
      </c>
      <c r="T405" s="28"/>
      <c r="U405" s="55" t="s">
        <v>20</v>
      </c>
      <c r="V405" s="56">
        <f>O412+O430</f>
        <v>13023675</v>
      </c>
      <c r="W405" s="57">
        <f>S412+S430</f>
        <v>-238502.8831068493</v>
      </c>
      <c r="X405" s="45">
        <f t="shared" si="132"/>
        <v>0.12030341698567981</v>
      </c>
      <c r="Z405" s="120"/>
    </row>
    <row r="406" spans="1:26">
      <c r="A406" s="40" t="s">
        <v>164</v>
      </c>
      <c r="C406" s="428">
        <f>C405+C404</f>
        <v>129588857</v>
      </c>
      <c r="E406" s="458">
        <f>ROUND(E412*C406/(C406+C410),0)</f>
        <v>128227738</v>
      </c>
      <c r="G406" s="459"/>
      <c r="I406" s="429">
        <f>SUM(I399:I405)</f>
        <v>8760828</v>
      </c>
      <c r="K406" s="429">
        <f>SUM(K399:K405)</f>
        <v>8725740</v>
      </c>
      <c r="M406" s="193"/>
      <c r="O406" s="89">
        <f>SUM(O399:O405)</f>
        <v>9775908</v>
      </c>
      <c r="Q406" s="194"/>
      <c r="S406" s="89">
        <f>SUM(S399:S405)</f>
        <v>-182010.62480547946</v>
      </c>
      <c r="T406" s="79"/>
      <c r="U406" s="74" t="s">
        <v>22</v>
      </c>
      <c r="V406" s="57">
        <f>(Stipulation!C12+Stipulation!E12)*1000</f>
        <v>13023675.248779604</v>
      </c>
      <c r="W406" s="57">
        <f>Stipulation!H12*1000</f>
        <v>-238286.08029507782</v>
      </c>
      <c r="Z406" s="120"/>
    </row>
    <row r="407" spans="1:26">
      <c r="A407" s="40" t="s">
        <v>165</v>
      </c>
      <c r="C407" s="407"/>
      <c r="E407" s="407"/>
      <c r="M407" s="15"/>
      <c r="Q407" s="141"/>
      <c r="T407" s="79"/>
      <c r="U407" s="64" t="s">
        <v>24</v>
      </c>
      <c r="V407" s="195">
        <f>V406-V405</f>
        <v>0.24877960421144962</v>
      </c>
      <c r="W407" s="65">
        <f>W406-W405</f>
        <v>216.80281177148572</v>
      </c>
    </row>
    <row r="408" spans="1:26">
      <c r="A408" s="40" t="s">
        <v>166</v>
      </c>
      <c r="C408" s="422">
        <v>15566.893333333212</v>
      </c>
      <c r="E408" s="422">
        <f>ROUND(C408*(E$399+E$400)/(C$399+C$400),0)</f>
        <v>16353</v>
      </c>
      <c r="G408" s="426">
        <v>12</v>
      </c>
      <c r="H408" s="426"/>
      <c r="I408" s="427">
        <f>ROUND($G408*C408,0)</f>
        <v>186803</v>
      </c>
      <c r="K408" s="427">
        <f>ROUND($G408*E408,0)</f>
        <v>196236</v>
      </c>
      <c r="M408" s="196">
        <f>M401</f>
        <v>13</v>
      </c>
      <c r="N408" s="71"/>
      <c r="O408" s="79">
        <f>ROUND(M408*$E408,0)</f>
        <v>212589</v>
      </c>
      <c r="Q408" s="197"/>
      <c r="R408" s="71"/>
      <c r="S408" s="79"/>
      <c r="T408" s="79"/>
      <c r="U408" s="91" t="s">
        <v>28</v>
      </c>
      <c r="V408" s="146">
        <f>V406/(K412+K430)-1</f>
        <v>0.11972252893193946</v>
      </c>
      <c r="W408" s="38" t="s">
        <v>144</v>
      </c>
      <c r="X408" s="45">
        <f t="shared" ref="X408:X409" si="137">M408/G408-1</f>
        <v>8.3333333333333259E-2</v>
      </c>
    </row>
    <row r="409" spans="1:26">
      <c r="A409" s="40" t="s">
        <v>167</v>
      </c>
      <c r="C409" s="428">
        <v>44223766</v>
      </c>
      <c r="E409" s="428">
        <f>E410</f>
        <v>43759268</v>
      </c>
      <c r="G409" s="444">
        <v>3.9216000000000002</v>
      </c>
      <c r="H409" s="424" t="s">
        <v>17</v>
      </c>
      <c r="I409" s="450">
        <f>ROUND($G409*C409/100,0)</f>
        <v>1734279</v>
      </c>
      <c r="K409" s="450">
        <f>ROUND($G409*E409/100,0)</f>
        <v>1716063</v>
      </c>
      <c r="M409" s="110">
        <f>ROUND(G409*(1+V$410),4)</f>
        <v>4.3933999999999997</v>
      </c>
      <c r="N409" s="48" t="s">
        <v>17</v>
      </c>
      <c r="O409" s="89">
        <f>ROUND(M409*$E409/100,0)</f>
        <v>1922520</v>
      </c>
      <c r="Q409" s="80">
        <f>$W$409</f>
        <v>-2.7E-2</v>
      </c>
      <c r="R409" s="48"/>
      <c r="S409" s="89">
        <f t="shared" ref="S409" si="138">O409*Q409*254/365</f>
        <v>-36122.307287671232</v>
      </c>
      <c r="T409" s="79"/>
      <c r="U409" s="69" t="s">
        <v>26</v>
      </c>
      <c r="V409" s="139">
        <f>V405/(K412+K430)-1</f>
        <v>0.11972250754288294</v>
      </c>
      <c r="W409" s="49">
        <f>ROUND(W406/SUM(O402,O404:O405,O409,O420,O422:O423,O427)*365/254,4)</f>
        <v>-2.7E-2</v>
      </c>
      <c r="X409" s="45">
        <f t="shared" si="137"/>
        <v>0.12030803753569952</v>
      </c>
    </row>
    <row r="410" spans="1:26">
      <c r="A410" s="40" t="s">
        <v>168</v>
      </c>
      <c r="C410" s="428">
        <f>C409</f>
        <v>44223766</v>
      </c>
      <c r="E410" s="428">
        <f>E412-E406</f>
        <v>43759268</v>
      </c>
      <c r="G410" s="459"/>
      <c r="I410" s="429">
        <f>I408+I409</f>
        <v>1921082</v>
      </c>
      <c r="K410" s="429">
        <f>K408+K409</f>
        <v>1912299</v>
      </c>
      <c r="M410" s="193"/>
      <c r="O410" s="89">
        <f>O408+O409</f>
        <v>2135109</v>
      </c>
      <c r="Q410" s="194"/>
      <c r="S410" s="89">
        <f>S408+S409</f>
        <v>-36122.307287671232</v>
      </c>
      <c r="T410" s="79"/>
      <c r="U410" s="74" t="s">
        <v>80</v>
      </c>
      <c r="V410" s="140">
        <f>(V406-O399-O400-O401-O408-O417-O418-O419-O426)/(K402+K403+K404+K405+K409+K420+K421+K422+K423+K427)-1</f>
        <v>0.12031338976054595</v>
      </c>
    </row>
    <row r="411" spans="1:26">
      <c r="A411" s="40" t="s">
        <v>41</v>
      </c>
      <c r="C411" s="428">
        <v>-4456102</v>
      </c>
      <c r="E411" s="428">
        <v>0</v>
      </c>
      <c r="I411" s="429">
        <v>-94498</v>
      </c>
      <c r="K411" s="429">
        <v>0</v>
      </c>
      <c r="M411" s="15"/>
      <c r="O411" s="89">
        <v>0</v>
      </c>
      <c r="Q411" s="141"/>
      <c r="S411" s="89"/>
      <c r="U411" s="91" t="s">
        <v>48</v>
      </c>
      <c r="V411" s="146">
        <f>(O412+O413)/(K412+K413)-1</f>
        <v>7.1879448891126518E-2</v>
      </c>
    </row>
    <row r="412" spans="1:26" ht="16.5" thickBot="1">
      <c r="A412" s="40" t="s">
        <v>169</v>
      </c>
      <c r="C412" s="441">
        <f>C409+C406+C411</f>
        <v>169356521</v>
      </c>
      <c r="E412" s="441">
        <v>171987006</v>
      </c>
      <c r="G412" s="439"/>
      <c r="I412" s="440">
        <f>I410+I406+I411</f>
        <v>10587412</v>
      </c>
      <c r="K412" s="440">
        <f>K410+K406+K411</f>
        <v>10638039</v>
      </c>
      <c r="M412" s="113"/>
      <c r="O412" s="114">
        <f>O410+O406+O411</f>
        <v>11911017</v>
      </c>
      <c r="Q412" s="143"/>
      <c r="S412" s="114">
        <f>S410+S406+S411</f>
        <v>-218132.93209315068</v>
      </c>
    </row>
    <row r="413" spans="1:26" ht="16.5" thickTop="1">
      <c r="A413" s="40" t="s">
        <v>45</v>
      </c>
      <c r="C413" s="407"/>
      <c r="E413" s="407"/>
      <c r="G413" s="433"/>
      <c r="H413" s="434"/>
      <c r="I413" s="429">
        <v>474233.94480000006</v>
      </c>
      <c r="K413" s="429">
        <f>I413</f>
        <v>474233.94480000006</v>
      </c>
      <c r="M413" s="36"/>
      <c r="N413" s="99"/>
      <c r="O413" s="89">
        <v>0</v>
      </c>
      <c r="Q413" s="36"/>
      <c r="R413" s="99"/>
      <c r="S413" s="89"/>
      <c r="T413" s="28"/>
    </row>
    <row r="414" spans="1:26">
      <c r="A414" s="40" t="s">
        <v>46</v>
      </c>
      <c r="C414" s="407"/>
      <c r="E414" s="407"/>
      <c r="G414" s="433">
        <f>M414</f>
        <v>3.7900000000000003E-2</v>
      </c>
      <c r="H414" s="434"/>
      <c r="I414" s="429">
        <f>ROUND(SUM(I402:I405,I409,I413)*$G414,0)</f>
        <v>412909</v>
      </c>
      <c r="K414" s="429">
        <f>ROUND(SUM(K402:K405,K409,K413)*$G414,0)</f>
        <v>410747</v>
      </c>
      <c r="M414" s="36">
        <v>3.7900000000000003E-2</v>
      </c>
      <c r="N414" s="99"/>
      <c r="O414" s="89">
        <f>ROUND(SUM(O402:O405,O409,O413)*M414,0)</f>
        <v>440003</v>
      </c>
      <c r="Q414" s="36"/>
      <c r="R414" s="99"/>
      <c r="S414" s="89"/>
      <c r="T414" s="28"/>
      <c r="W414" s="117"/>
    </row>
    <row r="415" spans="1:26">
      <c r="C415" s="407"/>
      <c r="E415" s="407"/>
      <c r="T415" s="28"/>
      <c r="W415" s="117"/>
    </row>
    <row r="416" spans="1:26">
      <c r="A416" s="37" t="s">
        <v>170</v>
      </c>
      <c r="C416" s="407"/>
      <c r="E416" s="407"/>
      <c r="T416" s="28"/>
      <c r="X416" s="117"/>
      <c r="Y416" s="28"/>
    </row>
    <row r="417" spans="1:26">
      <c r="A417" s="40" t="s">
        <v>157</v>
      </c>
      <c r="C417" s="407">
        <v>2</v>
      </c>
      <c r="E417" s="407">
        <v>2</v>
      </c>
      <c r="G417" s="445">
        <v>98</v>
      </c>
      <c r="H417" s="426"/>
      <c r="I417" s="421">
        <f>ROUND($G417*C417,0)</f>
        <v>196</v>
      </c>
      <c r="K417" s="421">
        <f>ROUND($G417*E417,0)</f>
        <v>196</v>
      </c>
      <c r="M417" s="133">
        <f>M399</f>
        <v>110</v>
      </c>
      <c r="N417" s="132"/>
      <c r="O417" s="28">
        <f>ROUND(M417*$E417,0)</f>
        <v>220</v>
      </c>
      <c r="Q417" s="130"/>
      <c r="R417" s="132"/>
      <c r="S417" s="28"/>
      <c r="T417" s="28"/>
      <c r="X417" s="45">
        <f t="shared" ref="X417:X423" si="139">M417/G417-1</f>
        <v>0.12244897959183665</v>
      </c>
      <c r="Y417" s="28"/>
    </row>
    <row r="418" spans="1:26">
      <c r="A418" s="40" t="s">
        <v>158</v>
      </c>
      <c r="C418" s="407">
        <v>240.18586206896541</v>
      </c>
      <c r="E418" s="422">
        <v>252.41666666666652</v>
      </c>
      <c r="G418" s="445">
        <v>30</v>
      </c>
      <c r="H418" s="426"/>
      <c r="I418" s="421">
        <f>ROUND($G418*C418,0)</f>
        <v>7206</v>
      </c>
      <c r="K418" s="421">
        <f>ROUND($G418*E418,0)</f>
        <v>7573</v>
      </c>
      <c r="M418" s="133">
        <f>M400</f>
        <v>34</v>
      </c>
      <c r="N418" s="132"/>
      <c r="O418" s="28">
        <f>ROUND(M418*$E418,0)</f>
        <v>8582</v>
      </c>
      <c r="Q418" s="130"/>
      <c r="R418" s="132"/>
      <c r="S418" s="28"/>
      <c r="T418" s="28"/>
      <c r="X418" s="45">
        <f t="shared" si="139"/>
        <v>0.1333333333333333</v>
      </c>
      <c r="Z418" s="120"/>
    </row>
    <row r="419" spans="1:26">
      <c r="A419" s="40" t="s">
        <v>171</v>
      </c>
      <c r="C419" s="407">
        <v>0</v>
      </c>
      <c r="E419" s="422">
        <f>ROUND(C419*(E417+E418)/(C417+C418),0)</f>
        <v>0</v>
      </c>
      <c r="G419" s="445">
        <v>12</v>
      </c>
      <c r="H419" s="426"/>
      <c r="I419" s="421">
        <f>ROUND($G419*C419,0)</f>
        <v>0</v>
      </c>
      <c r="K419" s="421">
        <f>ROUND($G419*E419,0)</f>
        <v>0</v>
      </c>
      <c r="M419" s="133">
        <f>M401</f>
        <v>13</v>
      </c>
      <c r="N419" s="132"/>
      <c r="O419" s="28">
        <f>ROUND(M419*$E419,0)</f>
        <v>0</v>
      </c>
      <c r="Q419" s="130"/>
      <c r="R419" s="132"/>
      <c r="S419" s="28"/>
      <c r="T419" s="79"/>
      <c r="X419" s="45">
        <f t="shared" si="139"/>
        <v>8.3333333333333259E-2</v>
      </c>
      <c r="Z419" s="120"/>
    </row>
    <row r="420" spans="1:26">
      <c r="A420" s="40" t="s">
        <v>160</v>
      </c>
      <c r="C420" s="407">
        <v>41136.479288904688</v>
      </c>
      <c r="E420" s="422">
        <f>ROUND(C420*$E$430/$C$430,0)</f>
        <v>41775</v>
      </c>
      <c r="G420" s="445">
        <v>5.75</v>
      </c>
      <c r="H420" s="426"/>
      <c r="I420" s="421">
        <f>ROUND($G420*C420,0)</f>
        <v>236535</v>
      </c>
      <c r="K420" s="421">
        <f>ROUND($G420*E420,0)</f>
        <v>240206</v>
      </c>
      <c r="M420" s="133">
        <f>M402</f>
        <v>6.44</v>
      </c>
      <c r="N420" s="132"/>
      <c r="O420" s="28">
        <f>ROUND(M420*$E420,0)</f>
        <v>269031</v>
      </c>
      <c r="Q420" s="80">
        <f>$W$409</f>
        <v>-2.7E-2</v>
      </c>
      <c r="R420" s="132"/>
      <c r="S420" s="28">
        <f t="shared" ref="S420" si="140">O420*Q420*254/365</f>
        <v>-5054.8345150684927</v>
      </c>
      <c r="T420" s="79"/>
      <c r="W420" s="86"/>
      <c r="X420" s="45">
        <f t="shared" si="139"/>
        <v>0.12000000000000011</v>
      </c>
      <c r="Y420" s="28"/>
    </row>
    <row r="421" spans="1:26">
      <c r="A421" s="40" t="s">
        <v>172</v>
      </c>
      <c r="C421" s="407">
        <v>970.09269537292198</v>
      </c>
      <c r="E421" s="422">
        <f>ROUND(C421*$E$430/$C$430,0)</f>
        <v>985</v>
      </c>
      <c r="G421" s="445">
        <v>-1.61</v>
      </c>
      <c r="H421" s="426"/>
      <c r="I421" s="421">
        <f>ROUND($G421*C421,0)</f>
        <v>-1562</v>
      </c>
      <c r="K421" s="421">
        <f>ROUND($G421*E421,0)</f>
        <v>-1586</v>
      </c>
      <c r="M421" s="133">
        <f>M403</f>
        <v>-1.8</v>
      </c>
      <c r="N421" s="132"/>
      <c r="O421" s="28">
        <f>ROUND(M421*$E421,0)</f>
        <v>-1773</v>
      </c>
      <c r="Q421" s="130"/>
      <c r="R421" s="132"/>
      <c r="S421" s="28"/>
      <c r="V421" s="135"/>
      <c r="X421" s="45">
        <f t="shared" si="139"/>
        <v>0.11801242236024834</v>
      </c>
    </row>
    <row r="422" spans="1:26">
      <c r="A422" s="40" t="s">
        <v>154</v>
      </c>
      <c r="C422" s="407">
        <v>2422711</v>
      </c>
      <c r="E422" s="422">
        <f>ROUND(C422*$E$424/$C$424,0)</f>
        <v>2397264</v>
      </c>
      <c r="G422" s="438">
        <v>11.311</v>
      </c>
      <c r="H422" s="424" t="s">
        <v>17</v>
      </c>
      <c r="I422" s="421">
        <f>ROUND($G422*C422/100,0)</f>
        <v>274033</v>
      </c>
      <c r="K422" s="421">
        <f>ROUND($G422*E422/100,0)</f>
        <v>271155</v>
      </c>
      <c r="M422" s="110">
        <f>ROUND(G422*(1+V$410),4)</f>
        <v>12.671900000000001</v>
      </c>
      <c r="N422" s="48" t="s">
        <v>17</v>
      </c>
      <c r="O422" s="28">
        <f>ROUND(M422*$E422/100,0)</f>
        <v>303779</v>
      </c>
      <c r="Q422" s="80">
        <f t="shared" ref="Q422:Q423" si="141">$W$409</f>
        <v>-2.7E-2</v>
      </c>
      <c r="R422" s="48"/>
      <c r="S422" s="28">
        <f t="shared" ref="S422:S423" si="142">O422*Q422*254/365</f>
        <v>-5707.7161150684924</v>
      </c>
      <c r="T422" s="79"/>
      <c r="X422" s="45">
        <f t="shared" si="139"/>
        <v>0.12031650605605182</v>
      </c>
      <c r="Y422" s="28"/>
      <c r="Z422" s="120"/>
    </row>
    <row r="423" spans="1:26">
      <c r="A423" s="40" t="s">
        <v>138</v>
      </c>
      <c r="C423" s="428">
        <v>8752979</v>
      </c>
      <c r="E423" s="428">
        <f>E424-E422</f>
        <v>8661043</v>
      </c>
      <c r="G423" s="444">
        <v>3.2631000000000001</v>
      </c>
      <c r="H423" s="424" t="s">
        <v>17</v>
      </c>
      <c r="I423" s="450">
        <f>ROUND($G423*C423/100,0)</f>
        <v>285618</v>
      </c>
      <c r="K423" s="450">
        <f>ROUND($G423*E423/100,0)</f>
        <v>282618</v>
      </c>
      <c r="M423" s="492">
        <f>ROUND((V406-O412-SUM(O417:O422,O428))/E423*100,4)</f>
        <v>3.6644000000000001</v>
      </c>
      <c r="N423" s="48" t="s">
        <v>17</v>
      </c>
      <c r="O423" s="89">
        <f>ROUND(M423*$E423/100,0)</f>
        <v>317375</v>
      </c>
      <c r="Q423" s="80">
        <f t="shared" si="141"/>
        <v>-2.7E-2</v>
      </c>
      <c r="R423" s="48"/>
      <c r="S423" s="89">
        <f t="shared" si="142"/>
        <v>-5963.1719178082194</v>
      </c>
      <c r="T423" s="28"/>
      <c r="X423" s="45">
        <f t="shared" si="139"/>
        <v>0.12298121418283237</v>
      </c>
      <c r="Y423" s="28"/>
    </row>
    <row r="424" spans="1:26">
      <c r="A424" s="40" t="s">
        <v>164</v>
      </c>
      <c r="C424" s="428">
        <f>C423+C422</f>
        <v>11175690</v>
      </c>
      <c r="E424" s="428">
        <f>ROUND(E430*C424/(C424+C428),0)</f>
        <v>11058307</v>
      </c>
      <c r="G424" s="459"/>
      <c r="I424" s="429">
        <f>SUM(I417:I423)</f>
        <v>802026</v>
      </c>
      <c r="K424" s="429">
        <f>SUM(K417:K423)</f>
        <v>800162</v>
      </c>
      <c r="M424" s="199"/>
      <c r="O424" s="89">
        <f>SUM(O417:O423)</f>
        <v>897214</v>
      </c>
      <c r="Q424" s="200"/>
      <c r="S424" s="89">
        <f>SUM(S417:S423)</f>
        <v>-16725.722547945206</v>
      </c>
      <c r="T424" s="79"/>
      <c r="W424"/>
      <c r="Y424" s="135"/>
    </row>
    <row r="425" spans="1:26">
      <c r="A425" s="40" t="s">
        <v>165</v>
      </c>
      <c r="C425" s="407"/>
      <c r="E425" s="407"/>
      <c r="T425" s="79"/>
      <c r="U425" s="38"/>
      <c r="V425" s="79"/>
    </row>
    <row r="426" spans="1:26">
      <c r="A426" s="40" t="s">
        <v>166</v>
      </c>
      <c r="C426" s="422">
        <v>1573.9438636363625</v>
      </c>
      <c r="E426" s="422">
        <f>ROUND(C426*(E417+E418)/(C417+C418),0)</f>
        <v>1653</v>
      </c>
      <c r="G426" s="426">
        <v>12</v>
      </c>
      <c r="H426" s="426"/>
      <c r="I426" s="427">
        <f>ROUND($G426*C426,0)</f>
        <v>18887</v>
      </c>
      <c r="K426" s="427">
        <f>ROUND($G426*E426,0)</f>
        <v>19836</v>
      </c>
      <c r="M426" s="132">
        <f>M408</f>
        <v>13</v>
      </c>
      <c r="N426" s="132"/>
      <c r="O426" s="79">
        <f>ROUND(M426*$E426,0)</f>
        <v>21489</v>
      </c>
      <c r="Q426" s="201"/>
      <c r="R426" s="132"/>
      <c r="S426" s="79"/>
      <c r="T426" s="79"/>
      <c r="U426" s="85"/>
      <c r="V426" s="61"/>
      <c r="X426" s="45">
        <f t="shared" ref="X426:X427" si="143">M426/G426-1</f>
        <v>8.3333333333333259E-2</v>
      </c>
      <c r="Y426"/>
    </row>
    <row r="427" spans="1:26">
      <c r="A427" s="40" t="s">
        <v>167</v>
      </c>
      <c r="C427" s="428">
        <v>4461548</v>
      </c>
      <c r="E427" s="428">
        <f>E428</f>
        <v>4414687.0491753817</v>
      </c>
      <c r="G427" s="444">
        <v>3.9216000000000002</v>
      </c>
      <c r="H427" s="424" t="s">
        <v>17</v>
      </c>
      <c r="I427" s="450">
        <f>ROUND($G427*C427/100,0)</f>
        <v>174964</v>
      </c>
      <c r="K427" s="450">
        <f>ROUND($G427*E427/100,0)</f>
        <v>173126</v>
      </c>
      <c r="M427" s="128">
        <f>M409</f>
        <v>4.3933999999999997</v>
      </c>
      <c r="N427" s="48" t="s">
        <v>17</v>
      </c>
      <c r="O427" s="89">
        <f>ROUND(M427*$E427/100,0)</f>
        <v>193955</v>
      </c>
      <c r="Q427" s="80">
        <f>$W$409</f>
        <v>-2.7E-2</v>
      </c>
      <c r="R427" s="48"/>
      <c r="S427" s="89">
        <f t="shared" ref="S427" si="144">O427*Q427*254/365</f>
        <v>-3644.2284657534242</v>
      </c>
      <c r="T427" s="79"/>
      <c r="U427" s="39"/>
      <c r="V427" s="79"/>
      <c r="X427" s="45">
        <f t="shared" si="143"/>
        <v>0.12030803753569952</v>
      </c>
    </row>
    <row r="428" spans="1:26">
      <c r="A428" s="40" t="s">
        <v>168</v>
      </c>
      <c r="C428" s="428">
        <f>C427</f>
        <v>4461548</v>
      </c>
      <c r="E428" s="428">
        <f>E430-E424</f>
        <v>4414687.0491753817</v>
      </c>
      <c r="G428" s="459"/>
      <c r="I428" s="429">
        <f>I426+I427</f>
        <v>193851</v>
      </c>
      <c r="K428" s="429">
        <f>K426+K427</f>
        <v>192962</v>
      </c>
      <c r="M428" s="199"/>
      <c r="O428" s="89">
        <f>O426+O427</f>
        <v>215444</v>
      </c>
      <c r="Q428" s="200"/>
      <c r="S428" s="89">
        <f>S426+S427</f>
        <v>-3644.2284657534242</v>
      </c>
      <c r="T428" s="79"/>
      <c r="U428" s="85"/>
      <c r="V428" s="61"/>
      <c r="W428" s="112"/>
      <c r="Z428"/>
    </row>
    <row r="429" spans="1:26">
      <c r="A429" s="40" t="s">
        <v>41</v>
      </c>
      <c r="C429" s="428">
        <v>-400898</v>
      </c>
      <c r="E429" s="428">
        <v>0</v>
      </c>
      <c r="I429" s="429">
        <v>-8502</v>
      </c>
      <c r="K429" s="429">
        <v>0</v>
      </c>
      <c r="O429" s="90">
        <v>0</v>
      </c>
      <c r="S429" s="90"/>
      <c r="U429" s="27" t="s">
        <v>48</v>
      </c>
      <c r="V429" s="123">
        <f>(O430+O431)/(K430+K431)-1</f>
        <v>6.4123240668138681E-2</v>
      </c>
      <c r="W429" s="112"/>
    </row>
    <row r="430" spans="1:26" ht="16.5" thickBot="1">
      <c r="A430" s="40" t="s">
        <v>173</v>
      </c>
      <c r="C430" s="441">
        <f>C427+C424+C429</f>
        <v>15236340</v>
      </c>
      <c r="E430" s="441">
        <v>15472994.049175382</v>
      </c>
      <c r="G430" s="439"/>
      <c r="I430" s="440">
        <f>I428+I424+I429</f>
        <v>987375</v>
      </c>
      <c r="K430" s="440">
        <f>K428+K424+K429</f>
        <v>993124</v>
      </c>
      <c r="M430" s="115"/>
      <c r="O430" s="114">
        <f>O428+O424+O429</f>
        <v>1112658</v>
      </c>
      <c r="Q430" s="116"/>
      <c r="S430" s="114">
        <f>S428+S424+S429</f>
        <v>-20369.951013698632</v>
      </c>
      <c r="W430" s="112"/>
      <c r="X430" s="112"/>
    </row>
    <row r="431" spans="1:26" ht="16.5" thickTop="1">
      <c r="A431" s="40" t="s">
        <v>45</v>
      </c>
      <c r="C431" s="407"/>
      <c r="E431" s="407"/>
      <c r="G431" s="433"/>
      <c r="H431" s="434"/>
      <c r="I431" s="429">
        <v>52486.092400000009</v>
      </c>
      <c r="K431" s="429">
        <f>I431</f>
        <v>52486.092400000009</v>
      </c>
      <c r="M431" s="36"/>
      <c r="N431" s="99"/>
      <c r="O431" s="89">
        <v>0</v>
      </c>
      <c r="Q431" s="36"/>
      <c r="R431" s="99"/>
      <c r="S431" s="89"/>
      <c r="T431" s="28"/>
      <c r="W431" s="112"/>
      <c r="X431" s="112"/>
    </row>
    <row r="432" spans="1:26">
      <c r="A432" s="40" t="s">
        <v>46</v>
      </c>
      <c r="C432" s="407"/>
      <c r="E432" s="407"/>
      <c r="G432" s="433">
        <f>M432</f>
        <v>3.7900000000000003E-2</v>
      </c>
      <c r="H432" s="434"/>
      <c r="I432" s="429">
        <f>ROUND(SUM(I420:I423,I427,I431)*$G432,0)</f>
        <v>38737</v>
      </c>
      <c r="K432" s="429">
        <f>ROUND(SUM(K420:K423,K427,K431)*$G432,0)</f>
        <v>38582</v>
      </c>
      <c r="M432" s="119">
        <f>M414</f>
        <v>3.7900000000000003E-2</v>
      </c>
      <c r="N432" s="118"/>
      <c r="O432" s="89">
        <f>ROUND(SUM(O420:O423,O427,O431)*M432,0)</f>
        <v>41022</v>
      </c>
      <c r="Q432" s="119"/>
      <c r="R432" s="118"/>
      <c r="S432" s="89"/>
      <c r="T432" s="28"/>
      <c r="W432" s="112"/>
      <c r="X432" s="112"/>
    </row>
    <row r="433" spans="1:25">
      <c r="C433" s="407" t="s">
        <v>174</v>
      </c>
      <c r="E433" s="407"/>
      <c r="T433" s="28"/>
      <c r="W433" s="112"/>
      <c r="X433" s="112"/>
    </row>
    <row r="434" spans="1:25">
      <c r="A434" s="37" t="s">
        <v>175</v>
      </c>
      <c r="B434" s="15"/>
      <c r="C434" s="407"/>
      <c r="E434" s="407"/>
      <c r="L434" s="105"/>
      <c r="M434" s="15"/>
      <c r="N434" s="105"/>
      <c r="O434" s="15"/>
      <c r="P434" s="105"/>
      <c r="Q434" s="141"/>
      <c r="R434" s="105"/>
      <c r="S434" s="202"/>
      <c r="T434" s="28"/>
      <c r="U434" s="203"/>
      <c r="V434" s="203"/>
      <c r="W434" s="38"/>
      <c r="X434" s="112"/>
    </row>
    <row r="435" spans="1:25">
      <c r="A435" s="158" t="s">
        <v>176</v>
      </c>
      <c r="B435" s="15"/>
      <c r="C435" s="422"/>
      <c r="E435" s="422"/>
      <c r="G435" s="420"/>
      <c r="H435" s="420"/>
      <c r="I435" s="427"/>
      <c r="K435" s="427"/>
      <c r="L435" s="105"/>
      <c r="M435" s="149"/>
      <c r="N435" s="149"/>
      <c r="O435" s="204"/>
      <c r="P435" s="105"/>
      <c r="Q435" s="205"/>
      <c r="R435" s="149"/>
      <c r="S435" s="204"/>
      <c r="T435" s="28"/>
      <c r="U435" s="55" t="s">
        <v>20</v>
      </c>
      <c r="V435" s="56">
        <f>O484</f>
        <v>6594387</v>
      </c>
      <c r="W435" s="79"/>
      <c r="X435" s="203"/>
      <c r="Y435" s="203"/>
    </row>
    <row r="436" spans="1:25">
      <c r="A436" s="40" t="s">
        <v>177</v>
      </c>
      <c r="B436" s="15"/>
      <c r="C436" s="407">
        <v>67360.845488277293</v>
      </c>
      <c r="E436" s="407">
        <f t="shared" ref="E436:E450" si="145">ROUND(C436*$E$481/$C$481,0)</f>
        <v>68712</v>
      </c>
      <c r="G436" s="237">
        <v>11.69</v>
      </c>
      <c r="H436" s="420"/>
      <c r="I436" s="421">
        <f t="shared" ref="I436:I450" si="146">ROUND(C436*$G436,0)</f>
        <v>787448</v>
      </c>
      <c r="K436" s="421">
        <f t="shared" ref="K436:K450" si="147">ROUND(E436*$G436,0)</f>
        <v>803243</v>
      </c>
      <c r="L436" s="105"/>
      <c r="M436" s="41">
        <f>ROUND(G436*(1+$V$439),2)</f>
        <v>11.8</v>
      </c>
      <c r="N436" s="149"/>
      <c r="O436" s="206">
        <f t="shared" ref="O436:O450" si="148">ROUND(E436*M436,0)</f>
        <v>810802</v>
      </c>
      <c r="P436" s="105"/>
      <c r="Q436" s="83">
        <f t="shared" ref="Q436:Q479" si="149">$W$275</f>
        <v>-6.4000000000000003E-3</v>
      </c>
      <c r="R436" s="42"/>
      <c r="S436" s="28">
        <f t="shared" ref="S436:S450" si="150">O436*Q436*254/365</f>
        <v>-3611.0677567123289</v>
      </c>
      <c r="T436" s="28"/>
      <c r="U436" s="60" t="s">
        <v>22</v>
      </c>
      <c r="V436" s="57">
        <v>6595607.1942999996</v>
      </c>
      <c r="W436" s="79"/>
      <c r="X436" s="45">
        <f t="shared" ref="X436:X462" si="151">M436/G436-1</f>
        <v>9.4097519247220429E-3</v>
      </c>
      <c r="Y436" s="203"/>
    </row>
    <row r="437" spans="1:25" s="203" customFormat="1">
      <c r="A437" s="40" t="s">
        <v>178</v>
      </c>
      <c r="B437" s="15"/>
      <c r="C437" s="407">
        <v>264373.06217159901</v>
      </c>
      <c r="D437" s="408"/>
      <c r="E437" s="407">
        <f t="shared" si="145"/>
        <v>269677</v>
      </c>
      <c r="F437" s="408"/>
      <c r="G437" s="237">
        <v>12.66</v>
      </c>
      <c r="H437" s="420"/>
      <c r="I437" s="421">
        <f t="shared" si="146"/>
        <v>3346963</v>
      </c>
      <c r="J437" s="408"/>
      <c r="K437" s="421">
        <f t="shared" si="147"/>
        <v>3414111</v>
      </c>
      <c r="L437" s="105"/>
      <c r="M437" s="41">
        <f t="shared" ref="M437:M450" si="152">ROUND(G437*(1+$V$439),2)</f>
        <v>12.78</v>
      </c>
      <c r="N437" s="149"/>
      <c r="O437" s="206">
        <f t="shared" si="148"/>
        <v>3446472</v>
      </c>
      <c r="P437" s="105"/>
      <c r="Q437" s="83">
        <f t="shared" si="149"/>
        <v>-6.4000000000000003E-3</v>
      </c>
      <c r="R437" s="42"/>
      <c r="S437" s="28">
        <f t="shared" si="150"/>
        <v>-15349.54762520548</v>
      </c>
      <c r="U437" s="64" t="s">
        <v>24</v>
      </c>
      <c r="V437" s="65">
        <f>V436-V435</f>
        <v>1220.1942999996245</v>
      </c>
      <c r="W437" s="79"/>
      <c r="X437" s="45">
        <f t="shared" si="151"/>
        <v>9.4786729857818663E-3</v>
      </c>
    </row>
    <row r="438" spans="1:25" s="203" customFormat="1">
      <c r="A438" s="40" t="s">
        <v>179</v>
      </c>
      <c r="B438" s="15"/>
      <c r="C438" s="407">
        <v>156.00055743690501</v>
      </c>
      <c r="D438" s="408"/>
      <c r="E438" s="407">
        <f t="shared" si="145"/>
        <v>159</v>
      </c>
      <c r="F438" s="408"/>
      <c r="G438" s="237">
        <v>11.39</v>
      </c>
      <c r="H438" s="420"/>
      <c r="I438" s="421">
        <f t="shared" si="146"/>
        <v>1777</v>
      </c>
      <c r="J438" s="408"/>
      <c r="K438" s="421">
        <f t="shared" si="147"/>
        <v>1811</v>
      </c>
      <c r="L438" s="105"/>
      <c r="M438" s="41">
        <f t="shared" si="152"/>
        <v>11.5</v>
      </c>
      <c r="N438" s="149"/>
      <c r="O438" s="206">
        <f t="shared" si="148"/>
        <v>1829</v>
      </c>
      <c r="P438" s="105"/>
      <c r="Q438" s="83">
        <f t="shared" si="149"/>
        <v>-6.4000000000000003E-3</v>
      </c>
      <c r="R438" s="42"/>
      <c r="S438" s="28">
        <f t="shared" si="150"/>
        <v>-8.1458147945205486</v>
      </c>
      <c r="U438" s="69" t="s">
        <v>26</v>
      </c>
      <c r="V438" s="139">
        <f>V435/K484-1</f>
        <v>9.5196061726801062E-3</v>
      </c>
      <c r="W438" s="39"/>
      <c r="X438" s="45">
        <f t="shared" si="151"/>
        <v>9.6575943810359721E-3</v>
      </c>
    </row>
    <row r="439" spans="1:25" s="203" customFormat="1">
      <c r="A439" s="40" t="s">
        <v>180</v>
      </c>
      <c r="B439" s="15"/>
      <c r="C439" s="407">
        <v>330.66673898893498</v>
      </c>
      <c r="D439" s="408"/>
      <c r="E439" s="407">
        <f t="shared" si="145"/>
        <v>337</v>
      </c>
      <c r="F439" s="408"/>
      <c r="G439" s="237">
        <v>46.09</v>
      </c>
      <c r="H439" s="420"/>
      <c r="I439" s="421">
        <f t="shared" si="146"/>
        <v>15240</v>
      </c>
      <c r="J439" s="408"/>
      <c r="K439" s="421">
        <f t="shared" si="147"/>
        <v>15532</v>
      </c>
      <c r="L439" s="105"/>
      <c r="M439" s="41">
        <f t="shared" si="152"/>
        <v>46.54</v>
      </c>
      <c r="N439" s="149"/>
      <c r="O439" s="206">
        <f t="shared" si="148"/>
        <v>15684</v>
      </c>
      <c r="P439" s="105"/>
      <c r="Q439" s="83">
        <f t="shared" si="149"/>
        <v>-6.4000000000000003E-3</v>
      </c>
      <c r="R439" s="42"/>
      <c r="S439" s="28">
        <f t="shared" si="150"/>
        <v>-69.851809315068493</v>
      </c>
      <c r="U439" s="91" t="s">
        <v>28</v>
      </c>
      <c r="V439" s="146">
        <f>V436/K484-1</f>
        <v>9.7064029240976346E-3</v>
      </c>
      <c r="W439" s="49"/>
      <c r="X439" s="45">
        <f t="shared" si="151"/>
        <v>9.7635061835539272E-3</v>
      </c>
    </row>
    <row r="440" spans="1:25" s="203" customFormat="1">
      <c r="A440" s="40" t="s">
        <v>181</v>
      </c>
      <c r="B440" s="15"/>
      <c r="C440" s="407">
        <v>178.81847133758001</v>
      </c>
      <c r="D440" s="408"/>
      <c r="E440" s="407">
        <f t="shared" si="145"/>
        <v>182</v>
      </c>
      <c r="F440" s="408"/>
      <c r="G440" s="237">
        <v>37.68</v>
      </c>
      <c r="H440" s="420"/>
      <c r="I440" s="421">
        <f t="shared" si="146"/>
        <v>6738</v>
      </c>
      <c r="J440" s="408"/>
      <c r="K440" s="421">
        <f t="shared" si="147"/>
        <v>6858</v>
      </c>
      <c r="L440" s="105"/>
      <c r="M440" s="41">
        <f t="shared" si="152"/>
        <v>38.049999999999997</v>
      </c>
      <c r="N440" s="149"/>
      <c r="O440" s="206">
        <f t="shared" si="148"/>
        <v>6925</v>
      </c>
      <c r="P440" s="105"/>
      <c r="Q440" s="83">
        <f t="shared" si="149"/>
        <v>-6.4000000000000003E-3</v>
      </c>
      <c r="R440" s="42"/>
      <c r="S440" s="28">
        <f t="shared" si="150"/>
        <v>-30.841863013698632</v>
      </c>
      <c r="U440" s="162" t="s">
        <v>48</v>
      </c>
      <c r="V440" s="163">
        <f>(O484+O485)/(K484+K485)-1</f>
        <v>-1.8500105662055955E-4</v>
      </c>
      <c r="W440" s="207"/>
      <c r="X440" s="45">
        <f t="shared" si="151"/>
        <v>9.8195329087047423E-3</v>
      </c>
    </row>
    <row r="441" spans="1:25" s="203" customFormat="1">
      <c r="A441" s="40" t="s">
        <v>182</v>
      </c>
      <c r="B441" s="15"/>
      <c r="C441" s="407">
        <v>27270.891402256701</v>
      </c>
      <c r="D441" s="408"/>
      <c r="E441" s="407">
        <f t="shared" si="145"/>
        <v>27818</v>
      </c>
      <c r="F441" s="408"/>
      <c r="G441" s="237">
        <v>16.78</v>
      </c>
      <c r="H441" s="420"/>
      <c r="I441" s="421">
        <f t="shared" si="146"/>
        <v>457606</v>
      </c>
      <c r="J441" s="408"/>
      <c r="K441" s="421">
        <f t="shared" si="147"/>
        <v>466786</v>
      </c>
      <c r="L441" s="105"/>
      <c r="M441" s="41">
        <f t="shared" si="152"/>
        <v>16.940000000000001</v>
      </c>
      <c r="N441" s="149"/>
      <c r="O441" s="206">
        <f t="shared" si="148"/>
        <v>471237</v>
      </c>
      <c r="P441" s="105"/>
      <c r="Q441" s="83">
        <f t="shared" si="149"/>
        <v>-6.4000000000000003E-3</v>
      </c>
      <c r="R441" s="42"/>
      <c r="S441" s="28">
        <f t="shared" si="150"/>
        <v>-2098.7475813698629</v>
      </c>
      <c r="U441" s="207"/>
      <c r="V441" s="207"/>
      <c r="W441" s="207"/>
      <c r="X441" s="45">
        <f t="shared" si="151"/>
        <v>9.5351609058402786E-3</v>
      </c>
    </row>
    <row r="442" spans="1:25" s="203" customFormat="1">
      <c r="A442" s="40" t="s">
        <v>183</v>
      </c>
      <c r="B442" s="15"/>
      <c r="C442" s="407">
        <v>95.999718111345999</v>
      </c>
      <c r="D442" s="408"/>
      <c r="E442" s="407">
        <f t="shared" si="145"/>
        <v>98</v>
      </c>
      <c r="F442" s="408"/>
      <c r="G442" s="237">
        <v>15.1</v>
      </c>
      <c r="H442" s="420"/>
      <c r="I442" s="421">
        <f t="shared" si="146"/>
        <v>1450</v>
      </c>
      <c r="J442" s="408"/>
      <c r="K442" s="421">
        <f t="shared" si="147"/>
        <v>1480</v>
      </c>
      <c r="L442" s="105"/>
      <c r="M442" s="41">
        <f t="shared" si="152"/>
        <v>15.25</v>
      </c>
      <c r="N442" s="149"/>
      <c r="O442" s="206">
        <f t="shared" si="148"/>
        <v>1495</v>
      </c>
      <c r="P442" s="105"/>
      <c r="Q442" s="83">
        <f t="shared" si="149"/>
        <v>-6.4000000000000003E-3</v>
      </c>
      <c r="R442" s="42"/>
      <c r="S442" s="28">
        <f t="shared" si="150"/>
        <v>-6.6582794520547948</v>
      </c>
      <c r="U442" s="207"/>
      <c r="V442" s="207"/>
      <c r="W442" s="207"/>
      <c r="X442" s="45">
        <f t="shared" si="151"/>
        <v>9.9337748344370258E-3</v>
      </c>
    </row>
    <row r="443" spans="1:25" s="203" customFormat="1">
      <c r="A443" s="40" t="s">
        <v>184</v>
      </c>
      <c r="B443" s="15"/>
      <c r="C443" s="407">
        <v>60</v>
      </c>
      <c r="D443" s="408"/>
      <c r="E443" s="407">
        <f t="shared" si="145"/>
        <v>61</v>
      </c>
      <c r="F443" s="408"/>
      <c r="G443" s="237">
        <v>47.37</v>
      </c>
      <c r="H443" s="420"/>
      <c r="I443" s="421">
        <f t="shared" si="146"/>
        <v>2842</v>
      </c>
      <c r="J443" s="408"/>
      <c r="K443" s="421">
        <f t="shared" si="147"/>
        <v>2890</v>
      </c>
      <c r="L443" s="105"/>
      <c r="M443" s="41">
        <f t="shared" si="152"/>
        <v>47.83</v>
      </c>
      <c r="N443" s="149"/>
      <c r="O443" s="206">
        <f t="shared" si="148"/>
        <v>2918</v>
      </c>
      <c r="P443" s="105"/>
      <c r="Q443" s="83">
        <f t="shared" si="149"/>
        <v>-6.4000000000000003E-3</v>
      </c>
      <c r="R443" s="42"/>
      <c r="S443" s="28">
        <f t="shared" si="150"/>
        <v>-12.995892602739726</v>
      </c>
      <c r="U443" s="207"/>
      <c r="V443" s="207"/>
      <c r="W443" s="207"/>
      <c r="X443" s="45">
        <f t="shared" si="151"/>
        <v>9.7107874181971976E-3</v>
      </c>
    </row>
    <row r="444" spans="1:25" s="203" customFormat="1">
      <c r="A444" s="40" t="s">
        <v>185</v>
      </c>
      <c r="B444" s="15"/>
      <c r="C444" s="407">
        <v>791.93326488706396</v>
      </c>
      <c r="D444" s="408"/>
      <c r="E444" s="407">
        <f t="shared" si="145"/>
        <v>808</v>
      </c>
      <c r="F444" s="408"/>
      <c r="G444" s="237">
        <v>38.96</v>
      </c>
      <c r="H444" s="420"/>
      <c r="I444" s="421">
        <f t="shared" si="146"/>
        <v>30854</v>
      </c>
      <c r="J444" s="408"/>
      <c r="K444" s="421">
        <f t="shared" si="147"/>
        <v>31480</v>
      </c>
      <c r="L444" s="105"/>
      <c r="M444" s="41">
        <f t="shared" si="152"/>
        <v>39.340000000000003</v>
      </c>
      <c r="N444" s="149"/>
      <c r="O444" s="206">
        <f t="shared" si="148"/>
        <v>31787</v>
      </c>
      <c r="P444" s="105"/>
      <c r="Q444" s="83">
        <f t="shared" si="149"/>
        <v>-6.4000000000000003E-3</v>
      </c>
      <c r="R444" s="42"/>
      <c r="S444" s="28">
        <f t="shared" si="150"/>
        <v>-141.5697183561644</v>
      </c>
      <c r="U444" s="207"/>
      <c r="V444" s="207"/>
      <c r="W444" s="207"/>
      <c r="X444" s="45">
        <f t="shared" si="151"/>
        <v>9.7535934291581583E-3</v>
      </c>
    </row>
    <row r="445" spans="1:25" s="203" customFormat="1">
      <c r="A445" s="40" t="s">
        <v>186</v>
      </c>
      <c r="B445" s="15"/>
      <c r="C445" s="407">
        <v>36082.979153562999</v>
      </c>
      <c r="D445" s="408"/>
      <c r="E445" s="407">
        <f t="shared" si="145"/>
        <v>36807</v>
      </c>
      <c r="F445" s="408"/>
      <c r="G445" s="237">
        <v>20.94</v>
      </c>
      <c r="H445" s="420"/>
      <c r="I445" s="421">
        <f t="shared" si="146"/>
        <v>755578</v>
      </c>
      <c r="J445" s="408"/>
      <c r="K445" s="421">
        <f t="shared" si="147"/>
        <v>770739</v>
      </c>
      <c r="L445" s="105"/>
      <c r="M445" s="41">
        <f t="shared" si="152"/>
        <v>21.14</v>
      </c>
      <c r="N445" s="149"/>
      <c r="O445" s="206">
        <f t="shared" si="148"/>
        <v>778100</v>
      </c>
      <c r="P445" s="105"/>
      <c r="Q445" s="83">
        <f t="shared" si="149"/>
        <v>-6.4000000000000003E-3</v>
      </c>
      <c r="R445" s="42"/>
      <c r="S445" s="28">
        <f t="shared" si="150"/>
        <v>-3465.4229041095891</v>
      </c>
      <c r="U445" s="207"/>
      <c r="V445" s="207"/>
      <c r="W445" s="207"/>
      <c r="X445" s="45">
        <f t="shared" si="151"/>
        <v>9.5510983763131829E-3</v>
      </c>
    </row>
    <row r="446" spans="1:25" s="203" customFormat="1">
      <c r="A446" s="40" t="s">
        <v>187</v>
      </c>
      <c r="B446" s="15"/>
      <c r="C446" s="407">
        <v>48</v>
      </c>
      <c r="D446" s="408"/>
      <c r="E446" s="407">
        <f t="shared" si="145"/>
        <v>49</v>
      </c>
      <c r="F446" s="408"/>
      <c r="G446" s="237">
        <v>18.850000000000001</v>
      </c>
      <c r="H446" s="420"/>
      <c r="I446" s="421">
        <f t="shared" si="146"/>
        <v>905</v>
      </c>
      <c r="J446" s="408"/>
      <c r="K446" s="421">
        <f t="shared" si="147"/>
        <v>924</v>
      </c>
      <c r="L446" s="105"/>
      <c r="M446" s="41">
        <f t="shared" si="152"/>
        <v>19.03</v>
      </c>
      <c r="N446" s="149"/>
      <c r="O446" s="206">
        <f t="shared" si="148"/>
        <v>932</v>
      </c>
      <c r="P446" s="105"/>
      <c r="Q446" s="83">
        <f t="shared" si="149"/>
        <v>-6.4000000000000003E-3</v>
      </c>
      <c r="R446" s="42"/>
      <c r="S446" s="28">
        <f t="shared" si="150"/>
        <v>-4.1508471232876714</v>
      </c>
      <c r="U446" s="207"/>
      <c r="V446" s="207"/>
      <c r="W446" s="207"/>
      <c r="X446" s="45">
        <f t="shared" si="151"/>
        <v>9.549071618037086E-3</v>
      </c>
    </row>
    <row r="447" spans="1:25" s="203" customFormat="1">
      <c r="A447" s="40" t="s">
        <v>188</v>
      </c>
      <c r="B447" s="15"/>
      <c r="C447" s="407">
        <v>1344</v>
      </c>
      <c r="D447" s="408"/>
      <c r="E447" s="407">
        <f t="shared" si="145"/>
        <v>1371</v>
      </c>
      <c r="F447" s="408"/>
      <c r="G447" s="237">
        <v>50.99</v>
      </c>
      <c r="H447" s="420"/>
      <c r="I447" s="421">
        <f t="shared" si="146"/>
        <v>68531</v>
      </c>
      <c r="J447" s="408"/>
      <c r="K447" s="421">
        <f t="shared" si="147"/>
        <v>69907</v>
      </c>
      <c r="L447" s="105"/>
      <c r="M447" s="41">
        <f t="shared" si="152"/>
        <v>51.48</v>
      </c>
      <c r="N447" s="149"/>
      <c r="O447" s="206">
        <f t="shared" si="148"/>
        <v>70579</v>
      </c>
      <c r="P447" s="105"/>
      <c r="Q447" s="83">
        <f t="shared" si="149"/>
        <v>-6.4000000000000003E-3</v>
      </c>
      <c r="R447" s="42"/>
      <c r="S447" s="28">
        <f t="shared" si="150"/>
        <v>-314.33759561643836</v>
      </c>
      <c r="U447" s="207"/>
      <c r="V447" s="207"/>
      <c r="W447" s="207"/>
      <c r="X447" s="45">
        <f t="shared" si="151"/>
        <v>9.6097273975288555E-3</v>
      </c>
    </row>
    <row r="448" spans="1:25" s="203" customFormat="1">
      <c r="A448" s="40" t="s">
        <v>189</v>
      </c>
      <c r="B448" s="15"/>
      <c r="C448" s="407">
        <v>0</v>
      </c>
      <c r="D448" s="408"/>
      <c r="E448" s="407">
        <f t="shared" si="145"/>
        <v>0</v>
      </c>
      <c r="F448" s="408"/>
      <c r="G448" s="237">
        <v>42.6</v>
      </c>
      <c r="H448" s="420"/>
      <c r="I448" s="421">
        <f t="shared" si="146"/>
        <v>0</v>
      </c>
      <c r="J448" s="408"/>
      <c r="K448" s="421">
        <f t="shared" si="147"/>
        <v>0</v>
      </c>
      <c r="L448" s="105"/>
      <c r="M448" s="41">
        <f t="shared" si="152"/>
        <v>43.01</v>
      </c>
      <c r="N448" s="149"/>
      <c r="O448" s="206">
        <f t="shared" si="148"/>
        <v>0</v>
      </c>
      <c r="P448" s="105"/>
      <c r="Q448" s="83">
        <f t="shared" si="149"/>
        <v>-6.4000000000000003E-3</v>
      </c>
      <c r="R448" s="42"/>
      <c r="S448" s="28">
        <f t="shared" si="150"/>
        <v>0</v>
      </c>
      <c r="U448" s="207"/>
      <c r="V448" s="207"/>
      <c r="W448" s="207"/>
      <c r="X448" s="45">
        <f t="shared" si="151"/>
        <v>9.6244131455398563E-3</v>
      </c>
    </row>
    <row r="449" spans="1:25" s="203" customFormat="1">
      <c r="A449" s="40" t="s">
        <v>190</v>
      </c>
      <c r="B449" s="15"/>
      <c r="C449" s="407">
        <v>14980.8391953914</v>
      </c>
      <c r="D449" s="408"/>
      <c r="E449" s="407">
        <f t="shared" si="145"/>
        <v>15281</v>
      </c>
      <c r="F449" s="408"/>
      <c r="G449" s="237">
        <v>25.77</v>
      </c>
      <c r="H449" s="420"/>
      <c r="I449" s="421">
        <f t="shared" si="146"/>
        <v>386056</v>
      </c>
      <c r="J449" s="408"/>
      <c r="K449" s="421">
        <f t="shared" si="147"/>
        <v>393791</v>
      </c>
      <c r="L449" s="105"/>
      <c r="M449" s="41">
        <f t="shared" si="152"/>
        <v>26.02</v>
      </c>
      <c r="N449" s="149"/>
      <c r="O449" s="206">
        <f t="shared" si="148"/>
        <v>397612</v>
      </c>
      <c r="P449" s="105"/>
      <c r="Q449" s="83">
        <f t="shared" si="149"/>
        <v>-6.4000000000000003E-3</v>
      </c>
      <c r="R449" s="42"/>
      <c r="S449" s="28">
        <f t="shared" si="150"/>
        <v>-1770.8440197260275</v>
      </c>
      <c r="U449" s="208"/>
      <c r="V449" s="208"/>
      <c r="W449" s="208"/>
      <c r="X449" s="45">
        <f t="shared" si="151"/>
        <v>9.7012029491656548E-3</v>
      </c>
    </row>
    <row r="450" spans="1:25" s="203" customFormat="1">
      <c r="A450" s="40" t="s">
        <v>191</v>
      </c>
      <c r="B450" s="15"/>
      <c r="C450" s="407">
        <v>0</v>
      </c>
      <c r="D450" s="408"/>
      <c r="E450" s="407">
        <f t="shared" si="145"/>
        <v>0</v>
      </c>
      <c r="F450" s="408"/>
      <c r="G450" s="237">
        <v>51.04</v>
      </c>
      <c r="H450" s="420"/>
      <c r="I450" s="421">
        <f t="shared" si="146"/>
        <v>0</v>
      </c>
      <c r="J450" s="408"/>
      <c r="K450" s="421">
        <f t="shared" si="147"/>
        <v>0</v>
      </c>
      <c r="L450" s="105"/>
      <c r="M450" s="41">
        <f t="shared" si="152"/>
        <v>51.54</v>
      </c>
      <c r="N450" s="149"/>
      <c r="O450" s="206">
        <f t="shared" si="148"/>
        <v>0</v>
      </c>
      <c r="P450" s="105"/>
      <c r="Q450" s="83">
        <f t="shared" si="149"/>
        <v>-6.4000000000000003E-3</v>
      </c>
      <c r="R450" s="42"/>
      <c r="S450" s="28">
        <f t="shared" si="150"/>
        <v>0</v>
      </c>
      <c r="U450" s="207"/>
      <c r="V450" s="207"/>
      <c r="W450" s="207"/>
      <c r="X450" s="45">
        <f t="shared" si="151"/>
        <v>9.7962382445140328E-3</v>
      </c>
      <c r="Y450" s="15"/>
    </row>
    <row r="451" spans="1:25" s="203" customFormat="1">
      <c r="A451" s="158" t="s">
        <v>192</v>
      </c>
      <c r="B451" s="15"/>
      <c r="C451" s="407"/>
      <c r="D451" s="408"/>
      <c r="E451" s="407"/>
      <c r="F451" s="408"/>
      <c r="G451" s="445"/>
      <c r="H451" s="426"/>
      <c r="I451" s="421"/>
      <c r="J451" s="408"/>
      <c r="K451" s="421"/>
      <c r="L451" s="105"/>
      <c r="M451" s="78"/>
      <c r="N451" s="196"/>
      <c r="O451" s="206"/>
      <c r="P451" s="105"/>
      <c r="Q451" s="80"/>
      <c r="R451" s="196"/>
      <c r="S451" s="206"/>
      <c r="U451" s="207"/>
      <c r="V451" s="207"/>
      <c r="W451" s="207"/>
      <c r="X451" s="45" t="e">
        <f t="shared" si="151"/>
        <v>#DIV/0!</v>
      </c>
    </row>
    <row r="452" spans="1:25" s="15" customFormat="1">
      <c r="A452" s="40" t="s">
        <v>193</v>
      </c>
      <c r="C452" s="407">
        <v>23.9676817899316</v>
      </c>
      <c r="D452" s="408"/>
      <c r="E452" s="407">
        <f t="shared" ref="E452:E462" si="153">ROUND(C452*$E$481/$C$481,0)</f>
        <v>24</v>
      </c>
      <c r="F452" s="408"/>
      <c r="G452" s="237">
        <v>48.27</v>
      </c>
      <c r="H452" s="420"/>
      <c r="I452" s="421">
        <f t="shared" ref="I452:I462" si="154">ROUND(C452*$G452,0)</f>
        <v>1157</v>
      </c>
      <c r="J452" s="408"/>
      <c r="K452" s="421">
        <f t="shared" ref="K452:K462" si="155">ROUND(E452*$G452,0)</f>
        <v>1158</v>
      </c>
      <c r="L452" s="105"/>
      <c r="M452" s="41">
        <f t="shared" ref="M452:M462" si="156">ROUND(G452*(1+$V$439),2)</f>
        <v>48.74</v>
      </c>
      <c r="N452" s="149"/>
      <c r="O452" s="206">
        <f t="shared" ref="O452:O462" si="157">ROUND(E452*M452,0)</f>
        <v>1170</v>
      </c>
      <c r="P452" s="105"/>
      <c r="Q452" s="83">
        <f t="shared" si="149"/>
        <v>-6.4000000000000003E-3</v>
      </c>
      <c r="R452" s="42"/>
      <c r="S452" s="28">
        <f t="shared" ref="S452:S462" si="158">O452*Q452*254/365</f>
        <v>-5.2108273972602737</v>
      </c>
      <c r="U452" s="207"/>
      <c r="V452" s="207"/>
      <c r="W452" s="207"/>
      <c r="X452" s="45">
        <f t="shared" si="151"/>
        <v>9.7368966231614618E-3</v>
      </c>
      <c r="Y452" s="203"/>
    </row>
    <row r="453" spans="1:25" s="203" customFormat="1">
      <c r="A453" s="40" t="s">
        <v>194</v>
      </c>
      <c r="B453" s="15"/>
      <c r="C453" s="407">
        <v>593.30015045135406</v>
      </c>
      <c r="D453" s="408"/>
      <c r="E453" s="407">
        <f t="shared" si="153"/>
        <v>605</v>
      </c>
      <c r="F453" s="408"/>
      <c r="G453" s="237">
        <v>39.880000000000003</v>
      </c>
      <c r="H453" s="420"/>
      <c r="I453" s="421">
        <f t="shared" si="154"/>
        <v>23661</v>
      </c>
      <c r="J453" s="408"/>
      <c r="K453" s="421">
        <f t="shared" si="155"/>
        <v>24127</v>
      </c>
      <c r="L453" s="105"/>
      <c r="M453" s="41">
        <f t="shared" si="156"/>
        <v>40.270000000000003</v>
      </c>
      <c r="N453" s="149"/>
      <c r="O453" s="206">
        <f t="shared" si="157"/>
        <v>24363</v>
      </c>
      <c r="P453" s="105"/>
      <c r="Q453" s="83">
        <f t="shared" si="149"/>
        <v>-6.4000000000000003E-3</v>
      </c>
      <c r="R453" s="42"/>
      <c r="S453" s="28">
        <f t="shared" si="158"/>
        <v>-108.5054597260274</v>
      </c>
      <c r="U453" s="207"/>
      <c r="V453" s="207"/>
      <c r="W453" s="207"/>
      <c r="X453" s="45">
        <f t="shared" si="151"/>
        <v>9.7793380140420716E-3</v>
      </c>
    </row>
    <row r="454" spans="1:25" s="203" customFormat="1">
      <c r="A454" s="40" t="s">
        <v>195</v>
      </c>
      <c r="B454" s="15"/>
      <c r="C454" s="407">
        <v>60.761785356068202</v>
      </c>
      <c r="D454" s="408"/>
      <c r="E454" s="407">
        <f t="shared" si="153"/>
        <v>62</v>
      </c>
      <c r="F454" s="408"/>
      <c r="G454" s="237">
        <v>19.940000000000001</v>
      </c>
      <c r="H454" s="420"/>
      <c r="I454" s="421">
        <f t="shared" si="154"/>
        <v>1212</v>
      </c>
      <c r="J454" s="408"/>
      <c r="K454" s="421">
        <f t="shared" si="155"/>
        <v>1236</v>
      </c>
      <c r="L454" s="105"/>
      <c r="M454" s="41">
        <f t="shared" si="156"/>
        <v>20.13</v>
      </c>
      <c r="N454" s="149"/>
      <c r="O454" s="206">
        <f t="shared" si="157"/>
        <v>1248</v>
      </c>
      <c r="P454" s="105"/>
      <c r="Q454" s="83">
        <f t="shared" si="149"/>
        <v>-6.4000000000000003E-3</v>
      </c>
      <c r="R454" s="42"/>
      <c r="S454" s="28">
        <f t="shared" si="158"/>
        <v>-5.5582158904109589</v>
      </c>
      <c r="U454" s="208"/>
      <c r="V454" s="208"/>
      <c r="W454" s="208"/>
      <c r="X454" s="45">
        <f t="shared" si="151"/>
        <v>9.5285857572717791E-3</v>
      </c>
    </row>
    <row r="455" spans="1:25" s="203" customFormat="1">
      <c r="A455" s="40" t="s">
        <v>196</v>
      </c>
      <c r="B455" s="15"/>
      <c r="C455" s="407">
        <v>0</v>
      </c>
      <c r="D455" s="408"/>
      <c r="E455" s="407">
        <f t="shared" si="153"/>
        <v>0</v>
      </c>
      <c r="F455" s="408"/>
      <c r="G455" s="237">
        <v>50.16</v>
      </c>
      <c r="H455" s="420"/>
      <c r="I455" s="421">
        <f t="shared" si="154"/>
        <v>0</v>
      </c>
      <c r="J455" s="408"/>
      <c r="K455" s="421">
        <f t="shared" si="155"/>
        <v>0</v>
      </c>
      <c r="L455" s="105"/>
      <c r="M455" s="41">
        <f t="shared" si="156"/>
        <v>50.65</v>
      </c>
      <c r="N455" s="149"/>
      <c r="O455" s="206">
        <f t="shared" si="157"/>
        <v>0</v>
      </c>
      <c r="P455" s="105"/>
      <c r="Q455" s="83">
        <f t="shared" si="149"/>
        <v>-6.4000000000000003E-3</v>
      </c>
      <c r="R455" s="42"/>
      <c r="S455" s="28">
        <f t="shared" si="158"/>
        <v>0</v>
      </c>
      <c r="U455" s="207"/>
      <c r="V455" s="207"/>
      <c r="W455" s="207"/>
      <c r="X455" s="45">
        <f t="shared" si="151"/>
        <v>9.7687400318979822E-3</v>
      </c>
      <c r="Y455" s="15"/>
    </row>
    <row r="456" spans="1:25" s="203" customFormat="1">
      <c r="A456" s="40" t="s">
        <v>197</v>
      </c>
      <c r="B456" s="15"/>
      <c r="C456" s="407">
        <v>1897.91958269273</v>
      </c>
      <c r="D456" s="408"/>
      <c r="E456" s="407">
        <f t="shared" si="153"/>
        <v>1936</v>
      </c>
      <c r="F456" s="408"/>
      <c r="G456" s="237">
        <v>41.76</v>
      </c>
      <c r="H456" s="420"/>
      <c r="I456" s="421">
        <f t="shared" si="154"/>
        <v>79257</v>
      </c>
      <c r="J456" s="408"/>
      <c r="K456" s="421">
        <f t="shared" si="155"/>
        <v>80847</v>
      </c>
      <c r="L456" s="105"/>
      <c r="M456" s="41">
        <f t="shared" si="156"/>
        <v>42.17</v>
      </c>
      <c r="N456" s="149"/>
      <c r="O456" s="206">
        <f t="shared" si="157"/>
        <v>81641</v>
      </c>
      <c r="P456" s="105"/>
      <c r="Q456" s="83">
        <f t="shared" si="149"/>
        <v>-6.4000000000000003E-3</v>
      </c>
      <c r="R456" s="42"/>
      <c r="S456" s="28">
        <f t="shared" si="158"/>
        <v>-363.60440986301376</v>
      </c>
      <c r="U456" s="207"/>
      <c r="V456" s="207"/>
      <c r="W456" s="207"/>
      <c r="X456" s="45">
        <f t="shared" si="151"/>
        <v>9.8180076628353596E-3</v>
      </c>
    </row>
    <row r="457" spans="1:25" s="15" customFormat="1">
      <c r="A457" s="40" t="s">
        <v>198</v>
      </c>
      <c r="C457" s="407">
        <v>154.631843065693</v>
      </c>
      <c r="D457" s="408"/>
      <c r="E457" s="407">
        <f t="shared" si="153"/>
        <v>158</v>
      </c>
      <c r="F457" s="408"/>
      <c r="G457" s="237">
        <v>21.92</v>
      </c>
      <c r="H457" s="420"/>
      <c r="I457" s="421">
        <f t="shared" si="154"/>
        <v>3390</v>
      </c>
      <c r="J457" s="408"/>
      <c r="K457" s="421">
        <f t="shared" si="155"/>
        <v>3463</v>
      </c>
      <c r="L457" s="105"/>
      <c r="M457" s="41">
        <f t="shared" si="156"/>
        <v>22.13</v>
      </c>
      <c r="N457" s="149"/>
      <c r="O457" s="206">
        <f t="shared" si="157"/>
        <v>3497</v>
      </c>
      <c r="P457" s="105"/>
      <c r="Q457" s="83">
        <f t="shared" si="149"/>
        <v>-6.4000000000000003E-3</v>
      </c>
      <c r="R457" s="42"/>
      <c r="S457" s="28">
        <f t="shared" si="158"/>
        <v>-15.574584109589042</v>
      </c>
      <c r="U457" s="208"/>
      <c r="V457" s="208"/>
      <c r="W457" s="208"/>
      <c r="X457" s="45">
        <f t="shared" si="151"/>
        <v>9.58029197080279E-3</v>
      </c>
      <c r="Y457" s="203"/>
    </row>
    <row r="458" spans="1:25" s="203" customFormat="1">
      <c r="A458" s="40" t="s">
        <v>199</v>
      </c>
      <c r="B458" s="15"/>
      <c r="C458" s="407">
        <v>402.50573631747199</v>
      </c>
      <c r="D458" s="408"/>
      <c r="E458" s="407">
        <f t="shared" si="153"/>
        <v>411</v>
      </c>
      <c r="F458" s="408"/>
      <c r="G458" s="237">
        <v>53.17</v>
      </c>
      <c r="H458" s="420"/>
      <c r="I458" s="421">
        <f t="shared" si="154"/>
        <v>21401</v>
      </c>
      <c r="J458" s="408"/>
      <c r="K458" s="421">
        <f t="shared" si="155"/>
        <v>21853</v>
      </c>
      <c r="L458" s="105"/>
      <c r="M458" s="41">
        <f t="shared" si="156"/>
        <v>53.69</v>
      </c>
      <c r="N458" s="149"/>
      <c r="O458" s="206">
        <f t="shared" si="157"/>
        <v>22067</v>
      </c>
      <c r="P458" s="105"/>
      <c r="Q458" s="83">
        <f t="shared" si="149"/>
        <v>-6.4000000000000003E-3</v>
      </c>
      <c r="R458" s="42"/>
      <c r="S458" s="28">
        <f t="shared" si="158"/>
        <v>-98.279767671232875</v>
      </c>
      <c r="U458" s="207"/>
      <c r="V458" s="207"/>
      <c r="W458" s="207"/>
      <c r="X458" s="45">
        <f t="shared" si="151"/>
        <v>9.7799511002443218E-3</v>
      </c>
      <c r="Y458" s="15"/>
    </row>
    <row r="459" spans="1:25" s="203" customFormat="1">
      <c r="A459" s="40" t="s">
        <v>200</v>
      </c>
      <c r="B459" s="15"/>
      <c r="C459" s="407">
        <v>223.206797724491</v>
      </c>
      <c r="D459" s="408"/>
      <c r="E459" s="407">
        <f t="shared" si="153"/>
        <v>228</v>
      </c>
      <c r="F459" s="408"/>
      <c r="G459" s="237">
        <v>44.77</v>
      </c>
      <c r="H459" s="420"/>
      <c r="I459" s="421">
        <f t="shared" si="154"/>
        <v>9993</v>
      </c>
      <c r="J459" s="408"/>
      <c r="K459" s="421">
        <f t="shared" si="155"/>
        <v>10208</v>
      </c>
      <c r="L459" s="105"/>
      <c r="M459" s="41">
        <f t="shared" si="156"/>
        <v>45.2</v>
      </c>
      <c r="N459" s="149"/>
      <c r="O459" s="206">
        <f t="shared" si="157"/>
        <v>10306</v>
      </c>
      <c r="P459" s="105"/>
      <c r="Q459" s="83">
        <f t="shared" si="149"/>
        <v>-6.4000000000000003E-3</v>
      </c>
      <c r="R459" s="42"/>
      <c r="S459" s="28">
        <f t="shared" si="158"/>
        <v>-45.899818082191779</v>
      </c>
      <c r="U459" s="207"/>
      <c r="V459" s="207"/>
      <c r="W459" s="207"/>
      <c r="X459" s="45">
        <f t="shared" si="151"/>
        <v>9.6046459682823659E-3</v>
      </c>
    </row>
    <row r="460" spans="1:25" s="15" customFormat="1">
      <c r="A460" s="40" t="s">
        <v>201</v>
      </c>
      <c r="C460" s="407">
        <v>17.5131218174696</v>
      </c>
      <c r="D460" s="408"/>
      <c r="E460" s="407">
        <f t="shared" si="153"/>
        <v>18</v>
      </c>
      <c r="F460" s="408"/>
      <c r="G460" s="420">
        <v>25.53</v>
      </c>
      <c r="H460" s="420"/>
      <c r="I460" s="421">
        <f t="shared" si="154"/>
        <v>447</v>
      </c>
      <c r="J460" s="408"/>
      <c r="K460" s="421">
        <f t="shared" si="155"/>
        <v>460</v>
      </c>
      <c r="L460" s="105"/>
      <c r="M460" s="41">
        <f t="shared" si="156"/>
        <v>25.78</v>
      </c>
      <c r="N460" s="149"/>
      <c r="O460" s="206">
        <f t="shared" si="157"/>
        <v>464</v>
      </c>
      <c r="P460" s="105"/>
      <c r="Q460" s="83">
        <f t="shared" si="149"/>
        <v>-6.4000000000000003E-3</v>
      </c>
      <c r="R460" s="42"/>
      <c r="S460" s="28">
        <f t="shared" si="158"/>
        <v>-2.0665161643835619</v>
      </c>
      <c r="U460" s="208"/>
      <c r="V460" s="208"/>
      <c r="W460" s="208"/>
      <c r="X460" s="45">
        <f t="shared" si="151"/>
        <v>9.7924010967489483E-3</v>
      </c>
      <c r="Y460" s="203"/>
    </row>
    <row r="461" spans="1:25" s="203" customFormat="1">
      <c r="A461" s="40" t="s">
        <v>202</v>
      </c>
      <c r="B461" s="15"/>
      <c r="C461" s="407">
        <v>0</v>
      </c>
      <c r="D461" s="408"/>
      <c r="E461" s="407">
        <f t="shared" si="153"/>
        <v>0</v>
      </c>
      <c r="F461" s="408"/>
      <c r="G461" s="420">
        <v>54.8</v>
      </c>
      <c r="H461" s="420"/>
      <c r="I461" s="421">
        <f t="shared" si="154"/>
        <v>0</v>
      </c>
      <c r="J461" s="408"/>
      <c r="K461" s="421">
        <f t="shared" si="155"/>
        <v>0</v>
      </c>
      <c r="L461" s="105"/>
      <c r="M461" s="41">
        <f t="shared" si="156"/>
        <v>55.33</v>
      </c>
      <c r="N461" s="149"/>
      <c r="O461" s="206">
        <f t="shared" si="157"/>
        <v>0</v>
      </c>
      <c r="P461" s="105"/>
      <c r="Q461" s="83">
        <f t="shared" si="149"/>
        <v>-6.4000000000000003E-3</v>
      </c>
      <c r="R461" s="42"/>
      <c r="S461" s="28">
        <f t="shared" si="158"/>
        <v>0</v>
      </c>
      <c r="U461" s="207"/>
      <c r="V461" s="207"/>
      <c r="W461" s="207"/>
      <c r="X461" s="45">
        <f t="shared" si="151"/>
        <v>9.6715328467154027E-3</v>
      </c>
      <c r="Y461" s="15"/>
    </row>
    <row r="462" spans="1:25" s="203" customFormat="1">
      <c r="A462" s="40" t="s">
        <v>203</v>
      </c>
      <c r="B462" s="15"/>
      <c r="C462" s="407">
        <v>0</v>
      </c>
      <c r="D462" s="408"/>
      <c r="E462" s="407">
        <f t="shared" si="153"/>
        <v>0</v>
      </c>
      <c r="F462" s="408"/>
      <c r="G462" s="420">
        <v>46.41</v>
      </c>
      <c r="H462" s="420"/>
      <c r="I462" s="421">
        <f t="shared" si="154"/>
        <v>0</v>
      </c>
      <c r="J462" s="408"/>
      <c r="K462" s="421">
        <f t="shared" si="155"/>
        <v>0</v>
      </c>
      <c r="L462" s="105"/>
      <c r="M462" s="41">
        <f t="shared" si="156"/>
        <v>46.86</v>
      </c>
      <c r="N462" s="149"/>
      <c r="O462" s="206">
        <f t="shared" si="157"/>
        <v>0</v>
      </c>
      <c r="P462" s="105"/>
      <c r="Q462" s="83">
        <f t="shared" si="149"/>
        <v>-6.4000000000000003E-3</v>
      </c>
      <c r="R462" s="42"/>
      <c r="S462" s="28">
        <f t="shared" si="158"/>
        <v>0</v>
      </c>
      <c r="U462" s="207"/>
      <c r="V462" s="207"/>
      <c r="W462" s="207"/>
      <c r="X462" s="45">
        <f t="shared" si="151"/>
        <v>9.6961861667743676E-3</v>
      </c>
    </row>
    <row r="463" spans="1:25" s="15" customFormat="1">
      <c r="A463" s="158" t="s">
        <v>204</v>
      </c>
      <c r="C463" s="422"/>
      <c r="D463" s="408"/>
      <c r="E463" s="422"/>
      <c r="F463" s="408"/>
      <c r="G463" s="420"/>
      <c r="H463" s="420"/>
      <c r="I463" s="427"/>
      <c r="J463" s="408"/>
      <c r="K463" s="427"/>
      <c r="L463" s="105"/>
      <c r="M463" s="149"/>
      <c r="N463" s="149"/>
      <c r="O463" s="204"/>
      <c r="P463" s="105"/>
      <c r="Q463" s="205"/>
      <c r="R463" s="149"/>
      <c r="S463" s="204"/>
      <c r="U463" s="207"/>
      <c r="V463" s="207"/>
      <c r="W463" s="207"/>
      <c r="X463" s="203"/>
      <c r="Y463" s="203"/>
    </row>
    <row r="464" spans="1:25" s="203" customFormat="1">
      <c r="A464" s="40" t="s">
        <v>205</v>
      </c>
      <c r="B464" s="15"/>
      <c r="C464" s="407">
        <v>10322.2140202059</v>
      </c>
      <c r="D464" s="408"/>
      <c r="E464" s="407">
        <f>ROUND(C464*$E$481/$C$481,0)</f>
        <v>10529</v>
      </c>
      <c r="F464" s="408"/>
      <c r="G464" s="237">
        <v>10.98</v>
      </c>
      <c r="H464" s="420"/>
      <c r="I464" s="421">
        <f>ROUND(C464*$G464,0)</f>
        <v>113338</v>
      </c>
      <c r="J464" s="408"/>
      <c r="K464" s="421">
        <f>ROUND(E464*$G464,0)</f>
        <v>115608</v>
      </c>
      <c r="L464" s="105"/>
      <c r="M464" s="41">
        <f>ROUND(G464*(1+$V$439),2)</f>
        <v>11.09</v>
      </c>
      <c r="N464" s="149"/>
      <c r="O464" s="206">
        <f>ROUND(E464*M464,0)</f>
        <v>116767</v>
      </c>
      <c r="P464" s="105"/>
      <c r="Q464" s="83">
        <f t="shared" si="149"/>
        <v>-6.4000000000000003E-3</v>
      </c>
      <c r="R464" s="42"/>
      <c r="S464" s="28">
        <f t="shared" ref="S464:S468" si="159">O464*Q464*254/365</f>
        <v>-520.04502794520545</v>
      </c>
      <c r="U464" s="207"/>
      <c r="V464" s="207"/>
      <c r="W464" s="207"/>
      <c r="X464" s="45">
        <f t="shared" ref="X464:X468" si="160">M464/G464-1</f>
        <v>1.0018214936247771E-2</v>
      </c>
    </row>
    <row r="465" spans="1:24" s="203" customFormat="1">
      <c r="A465" s="40" t="s">
        <v>102</v>
      </c>
      <c r="B465" s="15"/>
      <c r="C465" s="407">
        <v>13394.7214580335</v>
      </c>
      <c r="D465" s="408"/>
      <c r="E465" s="407">
        <f>ROUND(C465*$E$481/$C$481,0)</f>
        <v>13663</v>
      </c>
      <c r="F465" s="408"/>
      <c r="G465" s="237">
        <v>13.7</v>
      </c>
      <c r="H465" s="420"/>
      <c r="I465" s="421">
        <f>ROUND(C465*$G465,0)</f>
        <v>183508</v>
      </c>
      <c r="J465" s="408"/>
      <c r="K465" s="421">
        <f>ROUND(E465*$G465,0)</f>
        <v>187183</v>
      </c>
      <c r="L465" s="105"/>
      <c r="M465" s="41">
        <f>ROUND(G465*(1+$V$439),2)</f>
        <v>13.83</v>
      </c>
      <c r="N465" s="149"/>
      <c r="O465" s="206">
        <f>ROUND(E465*M465,0)</f>
        <v>188959</v>
      </c>
      <c r="P465" s="105"/>
      <c r="Q465" s="83">
        <f t="shared" si="149"/>
        <v>-6.4000000000000003E-3</v>
      </c>
      <c r="R465" s="42"/>
      <c r="S465" s="28">
        <f t="shared" si="159"/>
        <v>-841.56643945205485</v>
      </c>
      <c r="U465" s="207"/>
      <c r="V465" s="207"/>
      <c r="W465" s="207"/>
      <c r="X465" s="45">
        <f t="shared" si="160"/>
        <v>9.4890510948906215E-3</v>
      </c>
    </row>
    <row r="466" spans="1:24" s="203" customFormat="1">
      <c r="A466" s="40" t="s">
        <v>206</v>
      </c>
      <c r="B466" s="15"/>
      <c r="C466" s="407">
        <v>294.699860558544</v>
      </c>
      <c r="D466" s="408"/>
      <c r="E466" s="407">
        <f>ROUND(C466*$E$481/$C$481,0)</f>
        <v>301</v>
      </c>
      <c r="F466" s="408"/>
      <c r="G466" s="237">
        <v>19.21</v>
      </c>
      <c r="H466" s="420"/>
      <c r="I466" s="421">
        <f>ROUND(C466*$G466,0)</f>
        <v>5661</v>
      </c>
      <c r="J466" s="408"/>
      <c r="K466" s="421">
        <f>ROUND(E466*$G466,0)</f>
        <v>5782</v>
      </c>
      <c r="L466" s="105"/>
      <c r="M466" s="41">
        <f>ROUND(G466*(1+$V$439),2)</f>
        <v>19.399999999999999</v>
      </c>
      <c r="N466" s="149"/>
      <c r="O466" s="206">
        <f>ROUND(E466*M466,0)</f>
        <v>5839</v>
      </c>
      <c r="P466" s="105"/>
      <c r="Q466" s="83">
        <f t="shared" si="149"/>
        <v>-6.4000000000000003E-3</v>
      </c>
      <c r="R466" s="42"/>
      <c r="S466" s="28">
        <f t="shared" si="159"/>
        <v>-26.005146301369862</v>
      </c>
      <c r="U466" s="207"/>
      <c r="V466" s="207"/>
      <c r="W466" s="207"/>
      <c r="X466" s="45">
        <f t="shared" si="160"/>
        <v>9.8906819364912302E-3</v>
      </c>
    </row>
    <row r="467" spans="1:24" s="203" customFormat="1">
      <c r="A467" s="40" t="s">
        <v>207</v>
      </c>
      <c r="B467" s="15"/>
      <c r="C467" s="407">
        <v>0</v>
      </c>
      <c r="D467" s="408"/>
      <c r="E467" s="407">
        <f>ROUND(C467*$E$481/$C$481,0)</f>
        <v>0</v>
      </c>
      <c r="F467" s="408"/>
      <c r="G467" s="237">
        <v>17.29</v>
      </c>
      <c r="H467" s="420"/>
      <c r="I467" s="421">
        <f>ROUND(C467*$G467,0)</f>
        <v>0</v>
      </c>
      <c r="J467" s="408"/>
      <c r="K467" s="421">
        <f>ROUND(E467*$G467,0)</f>
        <v>0</v>
      </c>
      <c r="L467" s="105"/>
      <c r="M467" s="41">
        <f>ROUND(G467*(1+$V$439),2)</f>
        <v>17.46</v>
      </c>
      <c r="N467" s="149"/>
      <c r="O467" s="206">
        <f>ROUND(E467*M467,0)</f>
        <v>0</v>
      </c>
      <c r="P467" s="105"/>
      <c r="Q467" s="83">
        <f t="shared" si="149"/>
        <v>-6.4000000000000003E-3</v>
      </c>
      <c r="R467" s="42"/>
      <c r="S467" s="28">
        <f t="shared" si="159"/>
        <v>0</v>
      </c>
      <c r="U467" s="207"/>
      <c r="V467" s="207"/>
      <c r="W467" s="207"/>
      <c r="X467" s="45">
        <f t="shared" si="160"/>
        <v>9.8322729901678674E-3</v>
      </c>
    </row>
    <row r="468" spans="1:24" s="203" customFormat="1">
      <c r="A468" s="40" t="s">
        <v>104</v>
      </c>
      <c r="B468" s="15"/>
      <c r="C468" s="407">
        <v>2254.0305210900101</v>
      </c>
      <c r="D468" s="408"/>
      <c r="E468" s="407">
        <f>ROUND(C468*$E$481/$C$481,0)</f>
        <v>2299</v>
      </c>
      <c r="F468" s="408"/>
      <c r="G468" s="237">
        <v>24.2</v>
      </c>
      <c r="H468" s="420"/>
      <c r="I468" s="421">
        <f>ROUND(C468*$G468,0)</f>
        <v>54548</v>
      </c>
      <c r="J468" s="408"/>
      <c r="K468" s="421">
        <f>ROUND(E468*$G468,0)</f>
        <v>55636</v>
      </c>
      <c r="L468" s="105"/>
      <c r="M468" s="41">
        <f>ROUND(G468*(1+$V$439),2)</f>
        <v>24.43</v>
      </c>
      <c r="N468" s="149"/>
      <c r="O468" s="206">
        <f>ROUND(E468*M468,0)</f>
        <v>56165</v>
      </c>
      <c r="P468" s="105"/>
      <c r="Q468" s="83">
        <f t="shared" si="149"/>
        <v>-6.4000000000000003E-3</v>
      </c>
      <c r="R468" s="42"/>
      <c r="S468" s="28">
        <f t="shared" si="159"/>
        <v>-250.14198356164385</v>
      </c>
      <c r="U468" s="207"/>
      <c r="V468" s="207"/>
      <c r="W468" s="207"/>
      <c r="X468" s="45">
        <f t="shared" si="160"/>
        <v>9.5041322314048937E-3</v>
      </c>
    </row>
    <row r="469" spans="1:24" s="203" customFormat="1">
      <c r="A469" s="158" t="s">
        <v>208</v>
      </c>
      <c r="B469" s="15"/>
      <c r="C469" s="407"/>
      <c r="D469" s="408"/>
      <c r="E469" s="407"/>
      <c r="F469" s="408"/>
      <c r="G469" s="409"/>
      <c r="H469" s="408"/>
      <c r="I469" s="421"/>
      <c r="J469" s="408"/>
      <c r="K469" s="421"/>
      <c r="L469" s="105"/>
      <c r="M469" s="15"/>
      <c r="N469" s="105"/>
      <c r="O469" s="206"/>
      <c r="P469" s="105"/>
      <c r="Q469" s="141"/>
      <c r="R469" s="105"/>
      <c r="S469" s="206"/>
      <c r="U469" s="207"/>
      <c r="V469" s="207"/>
      <c r="W469" s="207"/>
    </row>
    <row r="470" spans="1:24" s="203" customFormat="1">
      <c r="A470" s="40" t="s">
        <v>209</v>
      </c>
      <c r="B470" s="15"/>
      <c r="C470" s="407">
        <v>0</v>
      </c>
      <c r="D470" s="408"/>
      <c r="E470" s="407">
        <f t="shared" ref="E470:E475" si="161">ROUND(C470*$E$481/$C$481,0)</f>
        <v>0</v>
      </c>
      <c r="F470" s="408"/>
      <c r="G470" s="237">
        <v>11.87</v>
      </c>
      <c r="H470" s="420"/>
      <c r="I470" s="421">
        <f t="shared" ref="I470:I475" si="162">ROUND(C470*$G470,0)</f>
        <v>0</v>
      </c>
      <c r="J470" s="408"/>
      <c r="K470" s="421">
        <f t="shared" ref="K470:K475" si="163">ROUND(E470*$G470,0)</f>
        <v>0</v>
      </c>
      <c r="L470" s="105"/>
      <c r="M470" s="41">
        <f t="shared" ref="M470:M475" si="164">ROUND(G470*(1+$V$439),2)</f>
        <v>11.99</v>
      </c>
      <c r="N470" s="149"/>
      <c r="O470" s="206">
        <f t="shared" ref="O470:O475" si="165">ROUND(E470*M470,0)</f>
        <v>0</v>
      </c>
      <c r="P470" s="105"/>
      <c r="Q470" s="83">
        <f t="shared" si="149"/>
        <v>-6.4000000000000003E-3</v>
      </c>
      <c r="R470" s="42"/>
      <c r="S470" s="28">
        <f t="shared" ref="S470:S475" si="166">O470*Q470*254/365</f>
        <v>0</v>
      </c>
      <c r="U470" s="207"/>
      <c r="V470" s="207"/>
      <c r="W470" s="207"/>
      <c r="X470" s="45">
        <f t="shared" ref="X470:X475" si="167">M470/G470-1</f>
        <v>1.0109519797809607E-2</v>
      </c>
    </row>
    <row r="471" spans="1:24" s="203" customFormat="1">
      <c r="A471" s="40" t="s">
        <v>210</v>
      </c>
      <c r="B471" s="15"/>
      <c r="C471" s="407">
        <v>144</v>
      </c>
      <c r="D471" s="408"/>
      <c r="E471" s="407">
        <f t="shared" si="161"/>
        <v>147</v>
      </c>
      <c r="F471" s="408"/>
      <c r="G471" s="237">
        <v>4.2</v>
      </c>
      <c r="H471" s="420"/>
      <c r="I471" s="421">
        <f t="shared" si="162"/>
        <v>605</v>
      </c>
      <c r="J471" s="408"/>
      <c r="K471" s="421">
        <f t="shared" si="163"/>
        <v>617</v>
      </c>
      <c r="L471" s="105"/>
      <c r="M471" s="41">
        <f t="shared" si="164"/>
        <v>4.24</v>
      </c>
      <c r="N471" s="149"/>
      <c r="O471" s="206">
        <f t="shared" si="165"/>
        <v>623</v>
      </c>
      <c r="P471" s="105"/>
      <c r="Q471" s="83">
        <f t="shared" si="149"/>
        <v>-6.4000000000000003E-3</v>
      </c>
      <c r="R471" s="42"/>
      <c r="S471" s="28">
        <f t="shared" si="166"/>
        <v>-2.7746542465753428</v>
      </c>
      <c r="U471" s="207"/>
      <c r="V471" s="207"/>
      <c r="W471" s="207"/>
      <c r="X471" s="45">
        <f t="shared" si="167"/>
        <v>9.52380952380949E-3</v>
      </c>
    </row>
    <row r="472" spans="1:24" s="203" customFormat="1">
      <c r="A472" s="40" t="s">
        <v>211</v>
      </c>
      <c r="B472" s="15"/>
      <c r="C472" s="407">
        <v>178.56696165191701</v>
      </c>
      <c r="D472" s="408"/>
      <c r="E472" s="407">
        <f t="shared" si="161"/>
        <v>182</v>
      </c>
      <c r="F472" s="408"/>
      <c r="G472" s="237">
        <v>16.95</v>
      </c>
      <c r="H472" s="420"/>
      <c r="I472" s="421">
        <f t="shared" si="162"/>
        <v>3027</v>
      </c>
      <c r="J472" s="408"/>
      <c r="K472" s="421">
        <f t="shared" si="163"/>
        <v>3085</v>
      </c>
      <c r="L472" s="105"/>
      <c r="M472" s="41">
        <f t="shared" si="164"/>
        <v>17.11</v>
      </c>
      <c r="N472" s="149"/>
      <c r="O472" s="206">
        <f t="shared" si="165"/>
        <v>3114</v>
      </c>
      <c r="P472" s="105"/>
      <c r="Q472" s="83">
        <f t="shared" si="149"/>
        <v>-6.4000000000000003E-3</v>
      </c>
      <c r="R472" s="42"/>
      <c r="S472" s="28">
        <f t="shared" si="166"/>
        <v>-13.868817534246576</v>
      </c>
      <c r="U472" s="207"/>
      <c r="V472" s="207"/>
      <c r="W472" s="207"/>
      <c r="X472" s="45">
        <f t="shared" si="167"/>
        <v>9.4395280235988199E-3</v>
      </c>
    </row>
    <row r="473" spans="1:24" s="203" customFormat="1">
      <c r="A473" s="40" t="s">
        <v>205</v>
      </c>
      <c r="B473" s="15"/>
      <c r="C473" s="407">
        <v>390.59667505954002</v>
      </c>
      <c r="D473" s="408"/>
      <c r="E473" s="407">
        <f t="shared" si="161"/>
        <v>398</v>
      </c>
      <c r="F473" s="408"/>
      <c r="G473" s="237">
        <v>20.23</v>
      </c>
      <c r="H473" s="420"/>
      <c r="I473" s="421">
        <f t="shared" si="162"/>
        <v>7902</v>
      </c>
      <c r="J473" s="408"/>
      <c r="K473" s="421">
        <f t="shared" si="163"/>
        <v>8052</v>
      </c>
      <c r="L473" s="105"/>
      <c r="M473" s="41">
        <f t="shared" si="164"/>
        <v>20.43</v>
      </c>
      <c r="N473" s="149"/>
      <c r="O473" s="206">
        <f t="shared" si="165"/>
        <v>8131</v>
      </c>
      <c r="P473" s="105"/>
      <c r="Q473" s="83">
        <f t="shared" si="149"/>
        <v>-6.4000000000000003E-3</v>
      </c>
      <c r="R473" s="42"/>
      <c r="S473" s="28">
        <f t="shared" si="166"/>
        <v>-36.213023561643837</v>
      </c>
      <c r="U473" s="207"/>
      <c r="V473" s="207"/>
      <c r="W473" s="207"/>
      <c r="X473" s="45">
        <f t="shared" si="167"/>
        <v>9.8863074641621917E-3</v>
      </c>
    </row>
    <row r="474" spans="1:24" s="203" customFormat="1">
      <c r="A474" s="40" t="s">
        <v>212</v>
      </c>
      <c r="B474" s="15"/>
      <c r="C474" s="407">
        <v>1132.99109792285</v>
      </c>
      <c r="D474" s="408"/>
      <c r="E474" s="407">
        <f t="shared" si="161"/>
        <v>1156</v>
      </c>
      <c r="F474" s="408"/>
      <c r="G474" s="237">
        <v>23.59</v>
      </c>
      <c r="H474" s="420"/>
      <c r="I474" s="421">
        <f t="shared" si="162"/>
        <v>26727</v>
      </c>
      <c r="J474" s="408"/>
      <c r="K474" s="421">
        <f t="shared" si="163"/>
        <v>27270</v>
      </c>
      <c r="L474" s="105"/>
      <c r="M474" s="41">
        <f t="shared" si="164"/>
        <v>23.82</v>
      </c>
      <c r="N474" s="149"/>
      <c r="O474" s="206">
        <f t="shared" si="165"/>
        <v>27536</v>
      </c>
      <c r="P474" s="105"/>
      <c r="Q474" s="83">
        <f t="shared" si="149"/>
        <v>-6.4000000000000003E-3</v>
      </c>
      <c r="R474" s="42"/>
      <c r="S474" s="28">
        <f t="shared" si="166"/>
        <v>-122.63704547945206</v>
      </c>
      <c r="U474" s="207"/>
      <c r="V474" s="207"/>
      <c r="W474" s="207"/>
      <c r="X474" s="45">
        <f t="shared" si="167"/>
        <v>9.7498940228910591E-3</v>
      </c>
    </row>
    <row r="475" spans="1:24" s="203" customFormat="1">
      <c r="A475" s="40" t="s">
        <v>206</v>
      </c>
      <c r="B475" s="15"/>
      <c r="C475" s="407">
        <v>24</v>
      </c>
      <c r="D475" s="408"/>
      <c r="E475" s="407">
        <f t="shared" si="161"/>
        <v>24</v>
      </c>
      <c r="F475" s="408"/>
      <c r="G475" s="237">
        <v>31.17</v>
      </c>
      <c r="H475" s="420"/>
      <c r="I475" s="421">
        <f t="shared" si="162"/>
        <v>748</v>
      </c>
      <c r="J475" s="408"/>
      <c r="K475" s="421">
        <f t="shared" si="163"/>
        <v>748</v>
      </c>
      <c r="L475" s="105"/>
      <c r="M475" s="41">
        <f t="shared" si="164"/>
        <v>31.47</v>
      </c>
      <c r="N475" s="149"/>
      <c r="O475" s="206">
        <f t="shared" si="165"/>
        <v>755</v>
      </c>
      <c r="P475" s="105"/>
      <c r="Q475" s="83">
        <f t="shared" si="149"/>
        <v>-6.4000000000000003E-3</v>
      </c>
      <c r="R475" s="42"/>
      <c r="S475" s="28">
        <f t="shared" si="166"/>
        <v>-3.3625424657534246</v>
      </c>
      <c r="U475" s="207"/>
      <c r="V475" s="207"/>
      <c r="W475" s="207"/>
      <c r="X475" s="45">
        <f t="shared" si="167"/>
        <v>9.6246390760346134E-3</v>
      </c>
    </row>
    <row r="476" spans="1:24" s="203" customFormat="1">
      <c r="A476" s="158" t="s">
        <v>213</v>
      </c>
      <c r="B476" s="15"/>
      <c r="C476" s="422"/>
      <c r="D476" s="408"/>
      <c r="E476" s="422"/>
      <c r="F476" s="408"/>
      <c r="G476" s="420"/>
      <c r="H476" s="420"/>
      <c r="I476" s="427"/>
      <c r="J476" s="408"/>
      <c r="K476" s="427"/>
      <c r="L476" s="105"/>
      <c r="M476" s="149"/>
      <c r="N476" s="149"/>
      <c r="O476" s="204"/>
      <c r="P476" s="105"/>
      <c r="Q476" s="205"/>
      <c r="R476" s="149"/>
      <c r="S476" s="204"/>
      <c r="U476" s="207"/>
      <c r="V476" s="207"/>
      <c r="W476" s="207"/>
    </row>
    <row r="477" spans="1:24" s="203" customFormat="1">
      <c r="A477" s="40" t="s">
        <v>214</v>
      </c>
      <c r="B477" s="15"/>
      <c r="C477" s="407">
        <v>12.0001516351982</v>
      </c>
      <c r="D477" s="408"/>
      <c r="E477" s="407">
        <f>ROUND(C477*$E$481/$C$481,0)</f>
        <v>12</v>
      </c>
      <c r="F477" s="408"/>
      <c r="G477" s="237">
        <v>27.58</v>
      </c>
      <c r="H477" s="420"/>
      <c r="I477" s="421">
        <f>ROUND(C477*$G477,0)</f>
        <v>331</v>
      </c>
      <c r="J477" s="408"/>
      <c r="K477" s="421">
        <f>ROUND(E477*$G477,0)</f>
        <v>331</v>
      </c>
      <c r="L477" s="105"/>
      <c r="M477" s="41">
        <f>ROUND(G477*(1+$V$439),2)</f>
        <v>27.85</v>
      </c>
      <c r="N477" s="149"/>
      <c r="O477" s="206">
        <f>ROUND(E477*M477,0)</f>
        <v>334</v>
      </c>
      <c r="P477" s="105"/>
      <c r="Q477" s="83">
        <f t="shared" si="149"/>
        <v>-6.4000000000000003E-3</v>
      </c>
      <c r="R477" s="42"/>
      <c r="S477" s="28">
        <f t="shared" ref="S477" si="168">O477*Q477*254/365</f>
        <v>-1.4875353424657534</v>
      </c>
      <c r="U477" s="207"/>
      <c r="V477" s="207"/>
      <c r="W477" s="207"/>
      <c r="X477" s="45">
        <f t="shared" ref="X477" si="169">M477/G477-1</f>
        <v>9.7897026831037515E-3</v>
      </c>
    </row>
    <row r="478" spans="1:24" s="203" customFormat="1">
      <c r="A478" s="158" t="s">
        <v>215</v>
      </c>
      <c r="B478" s="15"/>
      <c r="C478" s="407"/>
      <c r="D478" s="408"/>
      <c r="E478" s="407"/>
      <c r="F478" s="408"/>
      <c r="G478" s="237"/>
      <c r="H478" s="420"/>
      <c r="I478" s="421"/>
      <c r="J478" s="408"/>
      <c r="K478" s="421"/>
      <c r="L478" s="105"/>
      <c r="M478" s="41"/>
      <c r="N478" s="149"/>
      <c r="O478" s="206"/>
      <c r="P478" s="105"/>
      <c r="Q478" s="83"/>
      <c r="R478" s="149"/>
      <c r="S478" s="206"/>
      <c r="U478" s="207"/>
      <c r="V478" s="207"/>
      <c r="W478" s="207"/>
    </row>
    <row r="479" spans="1:24" s="203" customFormat="1">
      <c r="A479" s="40" t="s">
        <v>216</v>
      </c>
      <c r="B479" s="15"/>
      <c r="C479" s="407">
        <v>126.49994631609501</v>
      </c>
      <c r="D479" s="408"/>
      <c r="E479" s="407">
        <f>ROUND(C479*$E$481/$C$481,0)</f>
        <v>129</v>
      </c>
      <c r="F479" s="408"/>
      <c r="G479" s="237">
        <v>38.659999999999997</v>
      </c>
      <c r="H479" s="420"/>
      <c r="I479" s="421">
        <f>ROUND(C479*$G479,0)</f>
        <v>4890</v>
      </c>
      <c r="J479" s="408"/>
      <c r="K479" s="421">
        <f>ROUND(E479*$G479,0)</f>
        <v>4987</v>
      </c>
      <c r="L479" s="105"/>
      <c r="M479" s="41">
        <f>ROUND(G479*(1+$V$439),2)</f>
        <v>39.04</v>
      </c>
      <c r="N479" s="149"/>
      <c r="O479" s="206">
        <f>ROUND(E479*M479,0)</f>
        <v>5036</v>
      </c>
      <c r="P479" s="105"/>
      <c r="Q479" s="83">
        <f t="shared" si="149"/>
        <v>-6.4000000000000003E-3</v>
      </c>
      <c r="R479" s="42"/>
      <c r="S479" s="28">
        <f t="shared" ref="S479" si="170">O479*Q479*254/365</f>
        <v>-22.428826301369867</v>
      </c>
      <c r="U479" s="207"/>
      <c r="V479" s="207"/>
      <c r="W479" s="207"/>
      <c r="X479" s="45">
        <f t="shared" ref="X479" si="171">M479/G479-1</f>
        <v>9.8292809105018364E-3</v>
      </c>
    </row>
    <row r="480" spans="1:24" s="203" customFormat="1">
      <c r="A480" s="40" t="s">
        <v>217</v>
      </c>
      <c r="B480" s="15"/>
      <c r="C480" s="428">
        <f>SUM(C436:C479)</f>
        <v>444722.16355353798</v>
      </c>
      <c r="D480" s="408"/>
      <c r="E480" s="428">
        <f>SUM(E436:E479)</f>
        <v>453642</v>
      </c>
      <c r="F480" s="408"/>
      <c r="G480" s="459"/>
      <c r="H480" s="408"/>
      <c r="I480" s="429">
        <f>SUM(I436:I479)</f>
        <v>6403791</v>
      </c>
      <c r="J480" s="408"/>
      <c r="K480" s="429">
        <f>SUM(K436:K479)</f>
        <v>6532203</v>
      </c>
      <c r="L480" s="105"/>
      <c r="M480" s="193"/>
      <c r="N480" s="105"/>
      <c r="O480" s="209">
        <f>SUM(O436:O479)</f>
        <v>6594387</v>
      </c>
      <c r="P480" s="105"/>
      <c r="Q480" s="194"/>
      <c r="R480" s="105"/>
      <c r="S480" s="209">
        <f>SUM(S436:S479)</f>
        <v>-29369.412348493144</v>
      </c>
      <c r="U480" s="207"/>
      <c r="V480" s="207"/>
      <c r="W480" s="207"/>
    </row>
    <row r="481" spans="1:24" s="203" customFormat="1" ht="16.5" thickBot="1">
      <c r="A481" s="40" t="s">
        <v>128</v>
      </c>
      <c r="B481" s="15"/>
      <c r="C481" s="460">
        <v>21847235.578286897</v>
      </c>
      <c r="D481" s="408"/>
      <c r="E481" s="460">
        <v>22285519</v>
      </c>
      <c r="F481" s="408"/>
      <c r="G481" s="439"/>
      <c r="H481" s="408"/>
      <c r="I481" s="439"/>
      <c r="J481" s="408"/>
      <c r="K481" s="439"/>
      <c r="L481" s="105"/>
      <c r="M481" s="113"/>
      <c r="N481" s="105"/>
      <c r="O481" s="113"/>
      <c r="P481" s="105"/>
      <c r="Q481" s="143"/>
      <c r="R481" s="105"/>
      <c r="S481" s="210"/>
      <c r="U481" s="207"/>
      <c r="V481" s="207"/>
      <c r="W481" s="207"/>
    </row>
    <row r="482" spans="1:24" s="203" customFormat="1" ht="16.5" thickTop="1">
      <c r="A482" s="40" t="s">
        <v>131</v>
      </c>
      <c r="B482" s="15"/>
      <c r="C482" s="419">
        <v>991.58333333333303</v>
      </c>
      <c r="D482" s="408"/>
      <c r="E482" s="419">
        <v>872.33333333333337</v>
      </c>
      <c r="F482" s="408"/>
      <c r="G482" s="409"/>
      <c r="H482" s="408"/>
      <c r="I482" s="409"/>
      <c r="J482" s="408"/>
      <c r="K482" s="409"/>
      <c r="L482" s="105"/>
      <c r="M482" s="15"/>
      <c r="N482" s="105"/>
      <c r="O482" s="15"/>
      <c r="P482" s="105"/>
      <c r="Q482" s="141"/>
      <c r="R482" s="105"/>
      <c r="S482" s="202"/>
      <c r="T482" s="211"/>
      <c r="U482" s="207"/>
      <c r="V482" s="207"/>
      <c r="W482" s="207"/>
    </row>
    <row r="483" spans="1:24" s="203" customFormat="1">
      <c r="A483" s="40" t="s">
        <v>129</v>
      </c>
      <c r="B483" s="15"/>
      <c r="C483" s="461">
        <v>234895</v>
      </c>
      <c r="D483" s="408"/>
      <c r="E483" s="461">
        <v>0</v>
      </c>
      <c r="F483" s="408"/>
      <c r="G483" s="459"/>
      <c r="H483" s="408"/>
      <c r="I483" s="429">
        <v>48139</v>
      </c>
      <c r="J483" s="408"/>
      <c r="K483" s="429">
        <v>0</v>
      </c>
      <c r="L483" s="105"/>
      <c r="M483" s="193"/>
      <c r="N483" s="105"/>
      <c r="O483" s="209">
        <v>0</v>
      </c>
      <c r="P483" s="105"/>
      <c r="Q483" s="194"/>
      <c r="R483" s="105"/>
      <c r="S483" s="209"/>
      <c r="U483" s="207"/>
      <c r="V483" s="207"/>
      <c r="W483" s="207"/>
    </row>
    <row r="484" spans="1:24" s="203" customFormat="1" ht="16.5" thickBot="1">
      <c r="A484" s="40" t="s">
        <v>218</v>
      </c>
      <c r="B484" s="15"/>
      <c r="C484" s="460">
        <f>C483+C481</f>
        <v>22082130.578286897</v>
      </c>
      <c r="D484" s="408"/>
      <c r="E484" s="460">
        <f>E483+E481</f>
        <v>22285519</v>
      </c>
      <c r="F484" s="408"/>
      <c r="G484" s="462"/>
      <c r="H484" s="463"/>
      <c r="I484" s="462">
        <f>I483+I480</f>
        <v>6451930</v>
      </c>
      <c r="J484" s="408"/>
      <c r="K484" s="462">
        <f>K483+K480</f>
        <v>6532203</v>
      </c>
      <c r="L484" s="105"/>
      <c r="M484" s="212"/>
      <c r="N484" s="213"/>
      <c r="O484" s="212">
        <f>O483+O480</f>
        <v>6594387</v>
      </c>
      <c r="P484" s="105"/>
      <c r="Q484" s="214"/>
      <c r="R484" s="213"/>
      <c r="S484" s="215">
        <f>S483+S480</f>
        <v>-29369.412348493144</v>
      </c>
      <c r="U484" s="216">
        <f>O484/K484-1</f>
        <v>9.5196061726801062E-3</v>
      </c>
      <c r="V484" s="207"/>
      <c r="W484" s="207"/>
    </row>
    <row r="485" spans="1:24" s="203" customFormat="1" ht="16.5" thickTop="1">
      <c r="A485" s="40" t="s">
        <v>45</v>
      </c>
      <c r="B485" s="15"/>
      <c r="C485" s="407"/>
      <c r="D485" s="408"/>
      <c r="E485" s="407"/>
      <c r="F485" s="408"/>
      <c r="G485" s="433"/>
      <c r="H485" s="434"/>
      <c r="I485" s="429">
        <v>63404.194299999981</v>
      </c>
      <c r="J485" s="408"/>
      <c r="K485" s="429">
        <f>I485</f>
        <v>63404.194299999981</v>
      </c>
      <c r="L485" s="17"/>
      <c r="M485" s="36"/>
      <c r="N485" s="99"/>
      <c r="O485" s="89">
        <v>0</v>
      </c>
      <c r="P485" s="17"/>
      <c r="Q485" s="36"/>
      <c r="R485" s="99"/>
      <c r="S485" s="89"/>
      <c r="U485" s="207">
        <f>O484/E484*100</f>
        <v>29.590457372789924</v>
      </c>
      <c r="V485" s="207"/>
      <c r="W485" s="207"/>
    </row>
    <row r="486" spans="1:24" s="203" customFormat="1">
      <c r="A486" s="40" t="s">
        <v>46</v>
      </c>
      <c r="B486" s="15"/>
      <c r="C486" s="407"/>
      <c r="D486" s="408"/>
      <c r="E486" s="407"/>
      <c r="F486" s="408"/>
      <c r="G486" s="433">
        <f>M486</f>
        <v>3.6999999999999998E-2</v>
      </c>
      <c r="H486" s="434"/>
      <c r="I486" s="429">
        <f>ROUND(SUM(I480,I485)*$G486,0)</f>
        <v>239286</v>
      </c>
      <c r="J486" s="408"/>
      <c r="K486" s="429">
        <f>ROUND(SUM(K480,K485)*$G486,0)</f>
        <v>244037</v>
      </c>
      <c r="L486" s="105"/>
      <c r="M486" s="136">
        <v>3.6999999999999998E-2</v>
      </c>
      <c r="N486" s="217"/>
      <c r="O486" s="209">
        <f>ROUND(SUM(O480,O485)*M486,0)</f>
        <v>243992</v>
      </c>
      <c r="P486" s="105"/>
      <c r="Q486" s="136"/>
      <c r="R486" s="217"/>
      <c r="S486" s="209"/>
      <c r="U486" s="207"/>
      <c r="V486" s="207"/>
      <c r="W486" s="207"/>
    </row>
    <row r="487" spans="1:24" s="203" customFormat="1">
      <c r="A487" s="15"/>
      <c r="B487" s="15"/>
      <c r="C487" s="407"/>
      <c r="D487" s="408"/>
      <c r="E487" s="407"/>
      <c r="F487" s="408"/>
      <c r="G487" s="409"/>
      <c r="H487" s="408"/>
      <c r="I487" s="409"/>
      <c r="J487" s="408"/>
      <c r="K487" s="409"/>
      <c r="L487" s="105"/>
      <c r="M487" s="15"/>
      <c r="N487" s="105"/>
      <c r="O487" s="15"/>
      <c r="P487" s="105"/>
      <c r="Q487" s="141"/>
      <c r="R487" s="105"/>
      <c r="S487" s="202"/>
      <c r="U487" s="207"/>
      <c r="V487" s="207"/>
      <c r="W487" s="207"/>
    </row>
    <row r="488" spans="1:24" s="203" customFormat="1">
      <c r="A488" s="37" t="s">
        <v>219</v>
      </c>
      <c r="B488" s="15"/>
      <c r="C488" s="407"/>
      <c r="D488" s="408"/>
      <c r="E488" s="407"/>
      <c r="F488" s="408"/>
      <c r="G488" s="409"/>
      <c r="H488" s="408"/>
      <c r="I488" s="409"/>
      <c r="J488" s="408"/>
      <c r="K488" s="409"/>
      <c r="L488" s="105"/>
      <c r="M488" s="15"/>
      <c r="N488" s="105"/>
      <c r="O488" s="15"/>
      <c r="P488" s="105"/>
      <c r="Q488" s="141"/>
      <c r="R488" s="105"/>
      <c r="S488" s="202"/>
      <c r="U488" s="207"/>
      <c r="V488" s="207"/>
      <c r="W488" s="207"/>
    </row>
    <row r="489" spans="1:24" s="203" customFormat="1">
      <c r="A489" s="218" t="s">
        <v>220</v>
      </c>
      <c r="B489" s="15"/>
      <c r="C489" s="407"/>
      <c r="D489" s="408"/>
      <c r="E489" s="407"/>
      <c r="F489" s="408"/>
      <c r="G489" s="409"/>
      <c r="H489" s="408"/>
      <c r="I489" s="421"/>
      <c r="J489" s="408"/>
      <c r="K489" s="421"/>
      <c r="L489" s="105"/>
      <c r="M489" s="15"/>
      <c r="N489" s="105"/>
      <c r="O489" s="206"/>
      <c r="P489" s="105"/>
      <c r="Q489" s="141"/>
      <c r="R489" s="105"/>
      <c r="S489" s="206"/>
      <c r="W489" s="207"/>
    </row>
    <row r="490" spans="1:24" s="203" customFormat="1">
      <c r="A490" s="158" t="s">
        <v>221</v>
      </c>
      <c r="B490" s="15"/>
      <c r="C490" s="407"/>
      <c r="D490" s="408"/>
      <c r="E490" s="407"/>
      <c r="F490" s="408"/>
      <c r="G490" s="409"/>
      <c r="H490" s="408"/>
      <c r="I490" s="421"/>
      <c r="J490" s="408"/>
      <c r="K490" s="421"/>
      <c r="L490" s="105"/>
      <c r="M490" s="15"/>
      <c r="N490" s="105"/>
      <c r="O490" s="206"/>
      <c r="P490" s="105"/>
      <c r="Q490" s="141"/>
      <c r="R490" s="105"/>
      <c r="S490" s="206"/>
      <c r="W490" s="38"/>
    </row>
    <row r="491" spans="1:24" s="203" customFormat="1">
      <c r="A491" s="40" t="s">
        <v>222</v>
      </c>
      <c r="B491" s="15"/>
      <c r="C491" s="407">
        <v>66605.337991550201</v>
      </c>
      <c r="D491" s="408"/>
      <c r="E491" s="407">
        <f>ROUND(C491*$E$502/$C$502,0)</f>
        <v>64118</v>
      </c>
      <c r="F491" s="408"/>
      <c r="G491" s="237">
        <v>1.81</v>
      </c>
      <c r="H491" s="420"/>
      <c r="I491" s="421">
        <f>ROUND(C491*$G491,0)</f>
        <v>120556</v>
      </c>
      <c r="J491" s="421"/>
      <c r="K491" s="421">
        <f>ROUND(E491*$G491,0)</f>
        <v>116054</v>
      </c>
      <c r="L491" s="175"/>
      <c r="M491" s="41">
        <f>ROUND(G491*(1+$V$495),2)</f>
        <v>1.83</v>
      </c>
      <c r="N491" s="149"/>
      <c r="O491" s="206">
        <f>ROUND(E491*M491,0)</f>
        <v>117336</v>
      </c>
      <c r="P491" s="175"/>
      <c r="Q491" s="83">
        <f t="shared" ref="Q491:Q495" si="172">$W$275</f>
        <v>-6.4000000000000003E-3</v>
      </c>
      <c r="R491" s="149"/>
      <c r="S491" s="206">
        <f t="shared" ref="S491:S495" si="173">O491*Q491*254/365</f>
        <v>-522.57918246575343</v>
      </c>
      <c r="U491" s="55" t="s">
        <v>20</v>
      </c>
      <c r="V491" s="56">
        <f>O577</f>
        <v>3813444</v>
      </c>
      <c r="W491" s="79"/>
      <c r="X491" s="45">
        <f t="shared" ref="X491:X495" si="174">M491/G491-1</f>
        <v>1.1049723756906049E-2</v>
      </c>
    </row>
    <row r="492" spans="1:24" s="203" customFormat="1">
      <c r="A492" s="40" t="s">
        <v>223</v>
      </c>
      <c r="B492" s="15"/>
      <c r="C492" s="407">
        <v>112200.922012425</v>
      </c>
      <c r="D492" s="408"/>
      <c r="E492" s="407">
        <f>ROUND(C492*$E$502/$C$502,0)</f>
        <v>108011</v>
      </c>
      <c r="F492" s="408"/>
      <c r="G492" s="237">
        <v>2.4700000000000002</v>
      </c>
      <c r="H492" s="420"/>
      <c r="I492" s="421">
        <f>ROUND(C492*$G492,0)</f>
        <v>277136</v>
      </c>
      <c r="J492" s="421"/>
      <c r="K492" s="421">
        <f>ROUND(E492*$G492,0)</f>
        <v>266787</v>
      </c>
      <c r="L492" s="105"/>
      <c r="M492" s="41">
        <f>ROUND(G492*(1+$V$495),2)</f>
        <v>2.5</v>
      </c>
      <c r="N492" s="149"/>
      <c r="O492" s="206">
        <f>ROUND(E492*M492,0)</f>
        <v>270028</v>
      </c>
      <c r="P492" s="105"/>
      <c r="Q492" s="83">
        <f t="shared" si="172"/>
        <v>-6.4000000000000003E-3</v>
      </c>
      <c r="R492" s="149"/>
      <c r="S492" s="206">
        <f t="shared" si="173"/>
        <v>-1202.6233336986302</v>
      </c>
      <c r="U492" s="60" t="s">
        <v>22</v>
      </c>
      <c r="V492" s="57">
        <v>3813207.0129</v>
      </c>
      <c r="W492" s="79"/>
      <c r="X492" s="45">
        <f t="shared" si="174"/>
        <v>1.2145748987854255E-2</v>
      </c>
    </row>
    <row r="493" spans="1:24" s="203" customFormat="1">
      <c r="A493" s="40" t="s">
        <v>224</v>
      </c>
      <c r="B493" s="15"/>
      <c r="C493" s="407">
        <v>109686.363454664</v>
      </c>
      <c r="D493" s="408"/>
      <c r="E493" s="407">
        <f>ROUND(C493*$E$502/$C$502,0)</f>
        <v>105591</v>
      </c>
      <c r="F493" s="408"/>
      <c r="G493" s="237">
        <v>3.62</v>
      </c>
      <c r="H493" s="420"/>
      <c r="I493" s="421">
        <f>ROUND(C493*$G493,0)</f>
        <v>397065</v>
      </c>
      <c r="J493" s="421"/>
      <c r="K493" s="421">
        <f>ROUND(E493*$G493,0)</f>
        <v>382239</v>
      </c>
      <c r="L493" s="105"/>
      <c r="M493" s="41">
        <f>ROUND(G493*(1+$V$495),2)</f>
        <v>3.66</v>
      </c>
      <c r="N493" s="149"/>
      <c r="O493" s="206">
        <f>ROUND(E493*M493,0)</f>
        <v>386463</v>
      </c>
      <c r="P493" s="105"/>
      <c r="Q493" s="83">
        <f t="shared" si="172"/>
        <v>-6.4000000000000003E-3</v>
      </c>
      <c r="R493" s="149"/>
      <c r="S493" s="206">
        <f t="shared" si="173"/>
        <v>-1721.1897336986301</v>
      </c>
      <c r="U493" s="64" t="s">
        <v>24</v>
      </c>
      <c r="V493" s="65">
        <f>V492-V491</f>
        <v>-236.98710000002757</v>
      </c>
      <c r="W493" s="79"/>
      <c r="X493" s="45">
        <f t="shared" si="174"/>
        <v>1.1049723756906049E-2</v>
      </c>
    </row>
    <row r="494" spans="1:24" s="203" customFormat="1">
      <c r="A494" s="40" t="s">
        <v>225</v>
      </c>
      <c r="B494" s="15"/>
      <c r="C494" s="407">
        <v>53127.987612249599</v>
      </c>
      <c r="D494" s="408"/>
      <c r="E494" s="407">
        <f>ROUND(C494*$E$502/$C$502,0)</f>
        <v>51144</v>
      </c>
      <c r="F494" s="408"/>
      <c r="G494" s="237">
        <v>6.45</v>
      </c>
      <c r="H494" s="420"/>
      <c r="I494" s="421">
        <f>ROUND(C494*$G494,0)</f>
        <v>342676</v>
      </c>
      <c r="J494" s="421"/>
      <c r="K494" s="421">
        <f>ROUND(E494*$G494,0)</f>
        <v>329879</v>
      </c>
      <c r="L494" s="105"/>
      <c r="M494" s="41">
        <f>ROUND(G494*(1+$V$495),2)</f>
        <v>6.52</v>
      </c>
      <c r="N494" s="149"/>
      <c r="O494" s="206">
        <f>ROUND(E494*M494,0)</f>
        <v>333459</v>
      </c>
      <c r="P494" s="105"/>
      <c r="Q494" s="83">
        <f t="shared" si="172"/>
        <v>-6.4000000000000003E-3</v>
      </c>
      <c r="R494" s="149"/>
      <c r="S494" s="206">
        <f t="shared" si="173"/>
        <v>-1485.1258915068493</v>
      </c>
      <c r="U494" s="69" t="s">
        <v>26</v>
      </c>
      <c r="V494" s="139">
        <f>V491/K577-1</f>
        <v>1.0628249773410259E-2</v>
      </c>
      <c r="W494" s="39"/>
      <c r="X494" s="45">
        <f t="shared" si="174"/>
        <v>1.0852713178294504E-2</v>
      </c>
    </row>
    <row r="495" spans="1:24" s="203" customFormat="1">
      <c r="A495" s="40" t="s">
        <v>226</v>
      </c>
      <c r="B495" s="15"/>
      <c r="C495" s="407">
        <v>70255.828404056505</v>
      </c>
      <c r="D495" s="408"/>
      <c r="E495" s="407">
        <f>ROUND(C495*$E$502/$C$502,0)</f>
        <v>67632</v>
      </c>
      <c r="F495" s="408"/>
      <c r="G495" s="237">
        <v>9.92</v>
      </c>
      <c r="H495" s="420"/>
      <c r="I495" s="421">
        <f>ROUND(C495*$G495,0)</f>
        <v>696938</v>
      </c>
      <c r="J495" s="421"/>
      <c r="K495" s="421">
        <f>ROUND(E495*$G495,0)</f>
        <v>670909</v>
      </c>
      <c r="L495" s="105"/>
      <c r="M495" s="41">
        <f>ROUND(G495*(1+$V$495),2)</f>
        <v>10.02</v>
      </c>
      <c r="N495" s="149"/>
      <c r="O495" s="206">
        <f>ROUND(E495*M495,0)</f>
        <v>677673</v>
      </c>
      <c r="P495" s="105"/>
      <c r="Q495" s="83">
        <f t="shared" si="172"/>
        <v>-6.4000000000000003E-3</v>
      </c>
      <c r="R495" s="149"/>
      <c r="S495" s="206">
        <f t="shared" si="173"/>
        <v>-3018.1513117808222</v>
      </c>
      <c r="U495" s="91" t="s">
        <v>28</v>
      </c>
      <c r="V495" s="146">
        <f>V492/K577-1</f>
        <v>1.0565444115823164E-2</v>
      </c>
      <c r="W495" s="49"/>
      <c r="X495" s="45">
        <f t="shared" si="174"/>
        <v>1.0080645161290258E-2</v>
      </c>
    </row>
    <row r="496" spans="1:24" s="203" customFormat="1">
      <c r="A496" s="158" t="s">
        <v>192</v>
      </c>
      <c r="B496" s="15"/>
      <c r="C496" s="407"/>
      <c r="D496" s="408"/>
      <c r="E496" s="407"/>
      <c r="F496" s="408"/>
      <c r="G496" s="445"/>
      <c r="H496" s="426"/>
      <c r="I496" s="421"/>
      <c r="J496" s="408"/>
      <c r="K496" s="421"/>
      <c r="L496" s="105"/>
      <c r="M496" s="78"/>
      <c r="N496" s="196"/>
      <c r="O496" s="206"/>
      <c r="P496" s="105"/>
      <c r="Q496" s="80"/>
      <c r="R496" s="196"/>
      <c r="S496" s="206"/>
      <c r="U496" s="162" t="s">
        <v>48</v>
      </c>
      <c r="V496" s="219">
        <f>(O577+O578)/(K577+K578)-1</f>
        <v>6.2149025531033075E-5</v>
      </c>
      <c r="W496" s="207"/>
    </row>
    <row r="497" spans="1:24" s="203" customFormat="1">
      <c r="A497" s="40" t="s">
        <v>227</v>
      </c>
      <c r="B497" s="15"/>
      <c r="C497" s="407">
        <v>4092.17766726944</v>
      </c>
      <c r="D497" s="408"/>
      <c r="E497" s="407">
        <f>ROUND(C497*$E$502/$C$502,0)</f>
        <v>3939</v>
      </c>
      <c r="F497" s="408"/>
      <c r="G497" s="237">
        <v>2.52</v>
      </c>
      <c r="H497" s="420"/>
      <c r="I497" s="421">
        <f>ROUND(C497*$G497,0)</f>
        <v>10312</v>
      </c>
      <c r="J497" s="421"/>
      <c r="K497" s="421">
        <f>ROUND(E497*$G497,0)</f>
        <v>9926</v>
      </c>
      <c r="L497" s="105"/>
      <c r="M497" s="41">
        <f>ROUND(G497*(1+$V$495),2)</f>
        <v>2.5499999999999998</v>
      </c>
      <c r="N497" s="149"/>
      <c r="O497" s="206">
        <f>ROUND(E497*M497,0)</f>
        <v>10044</v>
      </c>
      <c r="P497" s="105"/>
      <c r="Q497" s="83">
        <f t="shared" ref="Q497:Q501" si="175">$W$275</f>
        <v>-6.4000000000000003E-3</v>
      </c>
      <c r="R497" s="149"/>
      <c r="S497" s="206">
        <f t="shared" ref="S497:S501" si="176">O497*Q497*254/365</f>
        <v>-44.732949041095885</v>
      </c>
      <c r="U497" s="207"/>
      <c r="V497" s="207"/>
      <c r="W497" s="207"/>
      <c r="X497" s="45">
        <f t="shared" ref="X497:X501" si="177">M497/G497-1</f>
        <v>1.1904761904761862E-2</v>
      </c>
    </row>
    <row r="498" spans="1:24" s="203" customFormat="1">
      <c r="A498" s="40" t="s">
        <v>228</v>
      </c>
      <c r="B498" s="15"/>
      <c r="C498" s="407">
        <v>14146.166420191301</v>
      </c>
      <c r="D498" s="408"/>
      <c r="E498" s="407">
        <f>ROUND(C498*$E$502/$C$502,0)</f>
        <v>13618</v>
      </c>
      <c r="F498" s="408"/>
      <c r="G498" s="237">
        <v>4.41</v>
      </c>
      <c r="H498" s="420"/>
      <c r="I498" s="421">
        <f>ROUND(C498*$G498,0)</f>
        <v>62385</v>
      </c>
      <c r="J498" s="421"/>
      <c r="K498" s="421">
        <f>ROUND(E498*$G498,0)</f>
        <v>60055</v>
      </c>
      <c r="L498" s="105"/>
      <c r="M498" s="41">
        <f>ROUND(G498*(1+$V$495),2)</f>
        <v>4.46</v>
      </c>
      <c r="N498" s="149"/>
      <c r="O498" s="206">
        <f>ROUND(E498*M498,0)</f>
        <v>60736</v>
      </c>
      <c r="P498" s="105"/>
      <c r="Q498" s="83">
        <f t="shared" si="175"/>
        <v>-6.4000000000000003E-3</v>
      </c>
      <c r="R498" s="149"/>
      <c r="S498" s="206">
        <f t="shared" si="176"/>
        <v>-270.49983999999995</v>
      </c>
      <c r="U498" s="207"/>
      <c r="V498" s="207"/>
      <c r="W498" s="207"/>
      <c r="X498" s="45">
        <f t="shared" si="177"/>
        <v>1.1337868480725488E-2</v>
      </c>
    </row>
    <row r="499" spans="1:24" s="203" customFormat="1">
      <c r="A499" s="40" t="s">
        <v>229</v>
      </c>
      <c r="B499" s="15"/>
      <c r="C499" s="407">
        <v>27616.859349783601</v>
      </c>
      <c r="D499" s="408"/>
      <c r="E499" s="407">
        <f>ROUND(C499*$E$502/$C$502,0)</f>
        <v>26586</v>
      </c>
      <c r="F499" s="408"/>
      <c r="G499" s="237">
        <v>6.11</v>
      </c>
      <c r="H499" s="420"/>
      <c r="I499" s="421">
        <f>ROUND(C499*$G499,0)</f>
        <v>168739</v>
      </c>
      <c r="J499" s="421"/>
      <c r="K499" s="421">
        <f>ROUND(E499*$G499,0)</f>
        <v>162440</v>
      </c>
      <c r="L499" s="105"/>
      <c r="M499" s="41">
        <f>ROUND(G499*(1+$V$495),2)</f>
        <v>6.17</v>
      </c>
      <c r="N499" s="149"/>
      <c r="O499" s="206">
        <f>ROUND(E499*M499,0)</f>
        <v>164036</v>
      </c>
      <c r="P499" s="105"/>
      <c r="Q499" s="83">
        <f t="shared" si="175"/>
        <v>-6.4000000000000003E-3</v>
      </c>
      <c r="R499" s="149"/>
      <c r="S499" s="206">
        <f t="shared" si="176"/>
        <v>-730.56690849315066</v>
      </c>
      <c r="U499" s="207"/>
      <c r="V499" s="207"/>
      <c r="W499" s="207"/>
      <c r="X499" s="45">
        <f t="shared" si="177"/>
        <v>9.8199672667758087E-3</v>
      </c>
    </row>
    <row r="500" spans="1:24" s="203" customFormat="1">
      <c r="A500" s="40" t="s">
        <v>230</v>
      </c>
      <c r="B500" s="15"/>
      <c r="C500" s="407">
        <v>24587.624349405</v>
      </c>
      <c r="D500" s="408"/>
      <c r="E500" s="407">
        <f>ROUND(C500*$E$502/$C$502,0)</f>
        <v>23670</v>
      </c>
      <c r="F500" s="408"/>
      <c r="G500" s="420">
        <v>9.67</v>
      </c>
      <c r="H500" s="420"/>
      <c r="I500" s="421">
        <f>ROUND(C500*$G500,0)</f>
        <v>237762</v>
      </c>
      <c r="J500" s="421"/>
      <c r="K500" s="421">
        <f>ROUND(E500*$G500,0)</f>
        <v>228889</v>
      </c>
      <c r="L500" s="105"/>
      <c r="M500" s="149">
        <f>ROUND(G500*(1+$V$495),2)</f>
        <v>9.77</v>
      </c>
      <c r="N500" s="149"/>
      <c r="O500" s="206">
        <f>ROUND(E500*M500,0)</f>
        <v>231256</v>
      </c>
      <c r="P500" s="105"/>
      <c r="Q500" s="205">
        <f t="shared" si="175"/>
        <v>-6.4000000000000003E-3</v>
      </c>
      <c r="R500" s="149"/>
      <c r="S500" s="206">
        <f t="shared" si="176"/>
        <v>-1029.944530410959</v>
      </c>
      <c r="U500" s="207"/>
      <c r="V500" s="207"/>
      <c r="W500" s="207"/>
      <c r="X500" s="45">
        <f t="shared" si="177"/>
        <v>1.0341261633919352E-2</v>
      </c>
    </row>
    <row r="501" spans="1:24" s="203" customFormat="1">
      <c r="A501" s="158" t="s">
        <v>231</v>
      </c>
      <c r="B501" s="15"/>
      <c r="C501" s="407">
        <v>6813700.6341773206</v>
      </c>
      <c r="D501" s="408"/>
      <c r="E501" s="407">
        <f>ROUND(C501*$E$502/$C$502,0)</f>
        <v>6559274</v>
      </c>
      <c r="F501" s="408"/>
      <c r="G501" s="464">
        <v>6.4596999999999998</v>
      </c>
      <c r="H501" s="424" t="s">
        <v>17</v>
      </c>
      <c r="I501" s="421">
        <f>ROUND(C501*$G501/100,0)</f>
        <v>440145</v>
      </c>
      <c r="J501" s="421"/>
      <c r="K501" s="421">
        <f>ROUND(E501*$G501/100,0)</f>
        <v>423709</v>
      </c>
      <c r="L501" s="105"/>
      <c r="M501" s="220">
        <f>ROUND(G501*(1+$V$495),4)</f>
        <v>6.5278999999999998</v>
      </c>
      <c r="N501" s="48" t="s">
        <v>17</v>
      </c>
      <c r="O501" s="206">
        <f>ROUND(E501*M501/100,0)</f>
        <v>428183</v>
      </c>
      <c r="P501" s="105"/>
      <c r="Q501" s="221">
        <f t="shared" si="175"/>
        <v>-6.4000000000000003E-3</v>
      </c>
      <c r="R501" s="48"/>
      <c r="S501" s="206">
        <f t="shared" si="176"/>
        <v>-1906.9980405479453</v>
      </c>
      <c r="U501" s="207"/>
      <c r="V501" s="207"/>
      <c r="W501" s="207"/>
      <c r="X501" s="45">
        <f t="shared" si="177"/>
        <v>1.0557765840518929E-2</v>
      </c>
    </row>
    <row r="502" spans="1:24" s="203" customFormat="1">
      <c r="A502" s="158" t="s">
        <v>232</v>
      </c>
      <c r="B502" s="15"/>
      <c r="C502" s="422">
        <v>42293384.777037106</v>
      </c>
      <c r="D502" s="408"/>
      <c r="E502" s="422">
        <f>E574-E570-E544</f>
        <v>40714133</v>
      </c>
      <c r="F502" s="408"/>
      <c r="G502" s="464"/>
      <c r="H502" s="424"/>
      <c r="I502" s="427">
        <f>SUM(I491:I501)</f>
        <v>2753714</v>
      </c>
      <c r="J502" s="408"/>
      <c r="K502" s="427">
        <f>SUM(K491:K501)</f>
        <v>2650887</v>
      </c>
      <c r="L502" s="105"/>
      <c r="M502" s="220"/>
      <c r="N502" s="149"/>
      <c r="O502" s="204">
        <f>SUM(O491:O501)</f>
        <v>2679214</v>
      </c>
      <c r="P502" s="105"/>
      <c r="Q502" s="221"/>
      <c r="R502" s="149"/>
      <c r="S502" s="204">
        <f>SUM(S491:S501)</f>
        <v>-11932.411721643837</v>
      </c>
      <c r="U502" s="207"/>
      <c r="V502" s="207"/>
      <c r="W502" s="207"/>
    </row>
    <row r="503" spans="1:24" s="203" customFormat="1">
      <c r="A503" s="158" t="s">
        <v>129</v>
      </c>
      <c r="B503" s="15"/>
      <c r="C503" s="422">
        <v>454726</v>
      </c>
      <c r="D503" s="408"/>
      <c r="E503" s="422"/>
      <c r="F503" s="408"/>
      <c r="G503" s="464"/>
      <c r="H503" s="424"/>
      <c r="I503" s="427">
        <v>20711</v>
      </c>
      <c r="J503" s="408"/>
      <c r="K503" s="427"/>
      <c r="L503" s="105"/>
      <c r="M503" s="220"/>
      <c r="N503" s="149"/>
      <c r="O503" s="204"/>
      <c r="P503" s="105"/>
      <c r="Q503" s="221"/>
      <c r="R503" s="149"/>
      <c r="S503" s="204"/>
      <c r="U503" s="207"/>
      <c r="V503" s="207"/>
      <c r="W503" s="207"/>
    </row>
    <row r="504" spans="1:24" s="203" customFormat="1">
      <c r="A504" s="158" t="s">
        <v>218</v>
      </c>
      <c r="B504" s="15"/>
      <c r="C504" s="422">
        <f>SUM(C502:C503)</f>
        <v>42748110.777037106</v>
      </c>
      <c r="D504" s="408"/>
      <c r="E504" s="422"/>
      <c r="F504" s="408"/>
      <c r="G504" s="464"/>
      <c r="H504" s="424"/>
      <c r="I504" s="427">
        <f>SUM(I502:I503)</f>
        <v>2774425</v>
      </c>
      <c r="J504" s="408"/>
      <c r="K504" s="427">
        <f>SUM(K502:K503)</f>
        <v>2650887</v>
      </c>
      <c r="L504" s="105"/>
      <c r="M504" s="220"/>
      <c r="N504" s="149"/>
      <c r="O504" s="204">
        <f>SUM(O502:O503)</f>
        <v>2679214</v>
      </c>
      <c r="P504" s="105"/>
      <c r="Q504" s="221"/>
      <c r="R504" s="149"/>
      <c r="S504" s="204">
        <f>SUM(S502:S503)</f>
        <v>-11932.411721643837</v>
      </c>
      <c r="U504" s="207"/>
      <c r="V504" s="207"/>
      <c r="W504" s="207"/>
    </row>
    <row r="505" spans="1:24" s="203" customFormat="1">
      <c r="A505" s="223" t="s">
        <v>233</v>
      </c>
      <c r="B505" s="15"/>
      <c r="C505" s="407"/>
      <c r="D505" s="408"/>
      <c r="E505" s="407"/>
      <c r="F505" s="408"/>
      <c r="G505" s="409"/>
      <c r="H505" s="408"/>
      <c r="I505" s="409"/>
      <c r="J505" s="408"/>
      <c r="K505" s="409"/>
      <c r="L505" s="105"/>
      <c r="M505" s="15"/>
      <c r="N505" s="105"/>
      <c r="O505" s="15"/>
      <c r="P505" s="105"/>
      <c r="Q505" s="141"/>
      <c r="R505" s="105"/>
      <c r="S505" s="202"/>
      <c r="U505" s="207"/>
      <c r="V505" s="207"/>
      <c r="W505" s="207"/>
    </row>
    <row r="506" spans="1:24" s="203" customFormat="1">
      <c r="A506" s="158" t="s">
        <v>234</v>
      </c>
      <c r="B506" s="15"/>
      <c r="C506" s="407"/>
      <c r="D506" s="408"/>
      <c r="E506" s="407"/>
      <c r="F506" s="408"/>
      <c r="G506" s="409"/>
      <c r="H506" s="408"/>
      <c r="I506" s="421"/>
      <c r="J506" s="408"/>
      <c r="K506" s="421"/>
      <c r="L506" s="105"/>
      <c r="M506" s="15"/>
      <c r="N506" s="105"/>
      <c r="O506" s="206"/>
      <c r="P506" s="105"/>
      <c r="Q506" s="141"/>
      <c r="R506" s="105"/>
      <c r="S506" s="206"/>
      <c r="U506" s="207"/>
      <c r="V506" s="207"/>
      <c r="W506" s="207"/>
    </row>
    <row r="507" spans="1:24" s="203" customFormat="1">
      <c r="A507" s="40" t="s">
        <v>235</v>
      </c>
      <c r="B507" s="15"/>
      <c r="C507" s="407">
        <v>96.133032694475801</v>
      </c>
      <c r="D507" s="408"/>
      <c r="E507" s="407">
        <f>ROUND(C507*$E$544/$C$544,0)</f>
        <v>93</v>
      </c>
      <c r="F507" s="408"/>
      <c r="G507" s="237">
        <v>8.8699999999999992</v>
      </c>
      <c r="H507" s="420"/>
      <c r="I507" s="421">
        <f>ROUND(C507*$G507,0)</f>
        <v>853</v>
      </c>
      <c r="J507" s="408"/>
      <c r="K507" s="421">
        <f>ROUND(E507*$G507,0)</f>
        <v>825</v>
      </c>
      <c r="L507" s="105"/>
      <c r="M507" s="41">
        <f>ROUND(G507*(1+$V$495),2)</f>
        <v>8.9600000000000009</v>
      </c>
      <c r="N507" s="149"/>
      <c r="O507" s="206">
        <f>ROUND(E507*M507,0)</f>
        <v>833</v>
      </c>
      <c r="P507" s="105"/>
      <c r="Q507" s="83">
        <f t="shared" ref="Q507:Q509" si="178">$W$275</f>
        <v>-6.4000000000000003E-3</v>
      </c>
      <c r="R507" s="149"/>
      <c r="S507" s="206">
        <f t="shared" ref="S507:S509" si="179">O507*Q507*254/365</f>
        <v>-3.7099309589041098</v>
      </c>
      <c r="U507" s="207"/>
      <c r="V507" s="207"/>
      <c r="W507" s="207"/>
      <c r="X507" s="45">
        <f t="shared" ref="X507:X509" si="180">M507/G507-1</f>
        <v>1.0146561443066693E-2</v>
      </c>
    </row>
    <row r="508" spans="1:24" s="203" customFormat="1">
      <c r="A508" s="40" t="s">
        <v>236</v>
      </c>
      <c r="B508" s="15"/>
      <c r="C508" s="407">
        <v>0</v>
      </c>
      <c r="D508" s="408"/>
      <c r="E508" s="407">
        <f>ROUND(C508*$E$544/$C$544,0)</f>
        <v>0</v>
      </c>
      <c r="F508" s="408"/>
      <c r="G508" s="237">
        <v>7.54</v>
      </c>
      <c r="H508" s="420"/>
      <c r="I508" s="421">
        <f>ROUND(C508*$G508,0)</f>
        <v>0</v>
      </c>
      <c r="J508" s="408"/>
      <c r="K508" s="421">
        <f>ROUND(E508*$G508,0)</f>
        <v>0</v>
      </c>
      <c r="L508" s="105"/>
      <c r="M508" s="41">
        <f>ROUND(G508*(1+$V$495),2)</f>
        <v>7.62</v>
      </c>
      <c r="N508" s="149"/>
      <c r="O508" s="206">
        <f>ROUND(E508*M508,0)</f>
        <v>0</v>
      </c>
      <c r="P508" s="105"/>
      <c r="Q508" s="83">
        <f t="shared" si="178"/>
        <v>-6.4000000000000003E-3</v>
      </c>
      <c r="R508" s="149"/>
      <c r="S508" s="206">
        <f t="shared" si="179"/>
        <v>0</v>
      </c>
      <c r="U508" s="207"/>
      <c r="V508" s="207"/>
      <c r="W508" s="207"/>
      <c r="X508" s="45">
        <f t="shared" si="180"/>
        <v>1.0610079575596787E-2</v>
      </c>
    </row>
    <row r="509" spans="1:24" s="203" customFormat="1">
      <c r="A509" s="40" t="s">
        <v>205</v>
      </c>
      <c r="B509" s="15"/>
      <c r="C509" s="407">
        <v>36</v>
      </c>
      <c r="D509" s="408"/>
      <c r="E509" s="407">
        <f>ROUND(C509*$E$544/$C$544,0)</f>
        <v>35</v>
      </c>
      <c r="F509" s="408"/>
      <c r="G509" s="237">
        <v>12.06</v>
      </c>
      <c r="H509" s="420"/>
      <c r="I509" s="421">
        <f>ROUND(C509*$G509,0)</f>
        <v>434</v>
      </c>
      <c r="J509" s="408"/>
      <c r="K509" s="421">
        <f>ROUND(E509*$G509,0)</f>
        <v>422</v>
      </c>
      <c r="L509" s="105"/>
      <c r="M509" s="41">
        <f>ROUND(G509*(1+$V$495),2)</f>
        <v>12.19</v>
      </c>
      <c r="N509" s="149"/>
      <c r="O509" s="206">
        <f>ROUND(E509*M509,0)</f>
        <v>427</v>
      </c>
      <c r="P509" s="105"/>
      <c r="Q509" s="83">
        <f t="shared" si="178"/>
        <v>-6.4000000000000003E-3</v>
      </c>
      <c r="R509" s="149"/>
      <c r="S509" s="206">
        <f t="shared" si="179"/>
        <v>-1.9017293150684933</v>
      </c>
      <c r="U509" s="207"/>
      <c r="V509" s="207"/>
      <c r="W509" s="207"/>
      <c r="X509" s="45">
        <f t="shared" si="180"/>
        <v>1.0779436152570376E-2</v>
      </c>
    </row>
    <row r="510" spans="1:24" s="203" customFormat="1">
      <c r="A510" s="158" t="s">
        <v>237</v>
      </c>
      <c r="B510" s="15"/>
      <c r="C510" s="407"/>
      <c r="D510" s="408"/>
      <c r="E510" s="407"/>
      <c r="F510" s="408"/>
      <c r="G510" s="237"/>
      <c r="H510" s="420"/>
      <c r="I510" s="409"/>
      <c r="J510" s="408"/>
      <c r="K510" s="409"/>
      <c r="L510" s="105"/>
      <c r="M510" s="41"/>
      <c r="N510" s="149"/>
      <c r="O510" s="15"/>
      <c r="P510" s="105"/>
      <c r="Q510" s="83"/>
      <c r="R510" s="149"/>
      <c r="S510" s="202"/>
      <c r="U510" s="207"/>
      <c r="V510" s="207"/>
      <c r="W510" s="207"/>
    </row>
    <row r="511" spans="1:24" s="203" customFormat="1">
      <c r="A511" s="40" t="s">
        <v>205</v>
      </c>
      <c r="B511" s="15"/>
      <c r="C511" s="407">
        <v>71.306360543701899</v>
      </c>
      <c r="D511" s="408"/>
      <c r="E511" s="407">
        <f>ROUND(C511*$E$544/$C$544,0)</f>
        <v>69</v>
      </c>
      <c r="F511" s="408"/>
      <c r="G511" s="237">
        <v>4.59</v>
      </c>
      <c r="H511" s="420"/>
      <c r="I511" s="421">
        <f>ROUND(C511*$G511,0)</f>
        <v>327</v>
      </c>
      <c r="J511" s="408"/>
      <c r="K511" s="421">
        <f>ROUND(E511*$G511,0)</f>
        <v>317</v>
      </c>
      <c r="L511" s="105"/>
      <c r="M511" s="41">
        <f>ROUND(G511*(1+$V$495),2)</f>
        <v>4.6399999999999997</v>
      </c>
      <c r="N511" s="149"/>
      <c r="O511" s="206">
        <f>ROUND(E511*M511,0)</f>
        <v>320</v>
      </c>
      <c r="P511" s="105"/>
      <c r="Q511" s="83">
        <f t="shared" ref="Q511:Q515" si="181">$W$275</f>
        <v>-6.4000000000000003E-3</v>
      </c>
      <c r="R511" s="149"/>
      <c r="S511" s="206">
        <f t="shared" ref="S511:S515" si="182">O511*Q511*254/365</f>
        <v>-1.4251835616438355</v>
      </c>
      <c r="U511" s="207"/>
      <c r="V511" s="207"/>
      <c r="W511" s="207"/>
      <c r="X511" s="45">
        <f t="shared" ref="X511:X515" si="183">M511/G511-1</f>
        <v>1.089324618736387E-2</v>
      </c>
    </row>
    <row r="512" spans="1:24" s="203" customFormat="1">
      <c r="A512" s="40" t="s">
        <v>102</v>
      </c>
      <c r="B512" s="15"/>
      <c r="C512" s="407">
        <v>772.96355257645598</v>
      </c>
      <c r="D512" s="408"/>
      <c r="E512" s="422">
        <f>ROUND(C512*$E$544/$C$544,0)</f>
        <v>744</v>
      </c>
      <c r="F512" s="408"/>
      <c r="G512" s="237">
        <v>6.93</v>
      </c>
      <c r="H512" s="408"/>
      <c r="I512" s="421">
        <f>ROUND(C512*$G512,0)</f>
        <v>5357</v>
      </c>
      <c r="J512" s="424"/>
      <c r="K512" s="421">
        <f>ROUND(E512*$G512,0)</f>
        <v>5156</v>
      </c>
      <c r="L512" s="105"/>
      <c r="M512" s="196">
        <f>ROUND(G512*(1+$V$495),2)</f>
        <v>7</v>
      </c>
      <c r="N512" s="105"/>
      <c r="O512" s="206">
        <f>ROUND(E512*M512,0)</f>
        <v>5208</v>
      </c>
      <c r="P512" s="105"/>
      <c r="Q512" s="197">
        <f t="shared" si="181"/>
        <v>-6.4000000000000003E-3</v>
      </c>
      <c r="R512" s="105"/>
      <c r="S512" s="206">
        <f t="shared" si="182"/>
        <v>-23.194862465753427</v>
      </c>
      <c r="T512" s="149"/>
      <c r="U512" s="204"/>
      <c r="V512" s="207"/>
      <c r="W512" s="207"/>
      <c r="X512" s="45">
        <f t="shared" si="183"/>
        <v>1.0101010101010166E-2</v>
      </c>
    </row>
    <row r="513" spans="1:24" s="203" customFormat="1">
      <c r="A513" s="40" t="s">
        <v>206</v>
      </c>
      <c r="B513" s="15"/>
      <c r="C513" s="407">
        <v>0</v>
      </c>
      <c r="D513" s="408"/>
      <c r="E513" s="407">
        <f>ROUND(C513*$E$544/$C$544,0)</f>
        <v>0</v>
      </c>
      <c r="F513" s="408"/>
      <c r="G513" s="237">
        <v>8.99</v>
      </c>
      <c r="H513" s="420"/>
      <c r="I513" s="421">
        <f>ROUND(C513*$G513,0)</f>
        <v>0</v>
      </c>
      <c r="J513" s="408"/>
      <c r="K513" s="421">
        <f>ROUND(E513*$G513,0)</f>
        <v>0</v>
      </c>
      <c r="L513" s="105"/>
      <c r="M513" s="41">
        <f>ROUND(G513*(1+$V$495),2)</f>
        <v>9.08</v>
      </c>
      <c r="N513" s="149"/>
      <c r="O513" s="206">
        <f>ROUND(E513*M513,0)</f>
        <v>0</v>
      </c>
      <c r="P513" s="105"/>
      <c r="Q513" s="83">
        <f t="shared" si="181"/>
        <v>-6.4000000000000003E-3</v>
      </c>
      <c r="R513" s="149"/>
      <c r="S513" s="206">
        <f t="shared" si="182"/>
        <v>0</v>
      </c>
      <c r="U513" s="207"/>
      <c r="V513" s="207"/>
      <c r="W513" s="207"/>
      <c r="X513" s="45">
        <f t="shared" si="183"/>
        <v>1.0011123470522687E-2</v>
      </c>
    </row>
    <row r="514" spans="1:24" s="203" customFormat="1">
      <c r="A514" s="40" t="s">
        <v>104</v>
      </c>
      <c r="B514" s="15"/>
      <c r="C514" s="407">
        <v>166.520545868082</v>
      </c>
      <c r="D514" s="408"/>
      <c r="E514" s="407">
        <f>ROUND(C514*$E$544/$C$544,0)</f>
        <v>160</v>
      </c>
      <c r="F514" s="408"/>
      <c r="G514" s="237">
        <v>13.19</v>
      </c>
      <c r="H514" s="420"/>
      <c r="I514" s="421">
        <f>ROUND(C514*$G514,0)</f>
        <v>2196</v>
      </c>
      <c r="J514" s="408"/>
      <c r="K514" s="421">
        <f>ROUND(E514*$G514,0)</f>
        <v>2110</v>
      </c>
      <c r="L514" s="105"/>
      <c r="M514" s="41">
        <f>ROUND(G514*(1+$V$495),2)</f>
        <v>13.33</v>
      </c>
      <c r="N514" s="149"/>
      <c r="O514" s="206">
        <f>ROUND(E514*M514,0)</f>
        <v>2133</v>
      </c>
      <c r="P514" s="105"/>
      <c r="Q514" s="83">
        <f t="shared" si="181"/>
        <v>-6.4000000000000003E-3</v>
      </c>
      <c r="R514" s="149"/>
      <c r="S514" s="206">
        <f t="shared" si="182"/>
        <v>-9.4997391780821925</v>
      </c>
      <c r="U514" s="207"/>
      <c r="V514" s="207"/>
      <c r="W514" s="207"/>
      <c r="X514" s="45">
        <f t="shared" si="183"/>
        <v>1.0614101592115288E-2</v>
      </c>
    </row>
    <row r="515" spans="1:24" s="203" customFormat="1">
      <c r="A515" s="40" t="s">
        <v>238</v>
      </c>
      <c r="B515" s="15"/>
      <c r="C515" s="407">
        <v>16.3333333333333</v>
      </c>
      <c r="D515" s="408"/>
      <c r="E515" s="407">
        <f>ROUND(C515*$E$544/$C$544,0)</f>
        <v>16</v>
      </c>
      <c r="F515" s="408"/>
      <c r="G515" s="237">
        <v>28.08</v>
      </c>
      <c r="H515" s="420"/>
      <c r="I515" s="421">
        <f>ROUND(C515*$G515,0)</f>
        <v>459</v>
      </c>
      <c r="J515" s="408"/>
      <c r="K515" s="421">
        <f>ROUND(E515*$G515,0)</f>
        <v>449</v>
      </c>
      <c r="L515" s="105"/>
      <c r="M515" s="41">
        <f>ROUND(G515*(1+$V$495),2)</f>
        <v>28.38</v>
      </c>
      <c r="N515" s="149"/>
      <c r="O515" s="206">
        <f>ROUND(E515*M515,0)</f>
        <v>454</v>
      </c>
      <c r="P515" s="105"/>
      <c r="Q515" s="83">
        <f t="shared" si="181"/>
        <v>-6.4000000000000003E-3</v>
      </c>
      <c r="R515" s="149"/>
      <c r="S515" s="206">
        <f t="shared" si="182"/>
        <v>-2.0219791780821921</v>
      </c>
      <c r="U515" s="207"/>
      <c r="V515" s="207"/>
      <c r="W515" s="207"/>
      <c r="X515" s="45">
        <f t="shared" si="183"/>
        <v>1.0683760683760646E-2</v>
      </c>
    </row>
    <row r="516" spans="1:24" s="203" customFormat="1">
      <c r="A516" s="158" t="s">
        <v>239</v>
      </c>
      <c r="B516" s="15"/>
      <c r="C516" s="407"/>
      <c r="D516" s="408"/>
      <c r="E516" s="407"/>
      <c r="F516" s="408"/>
      <c r="G516" s="237"/>
      <c r="H516" s="420"/>
      <c r="I516" s="421"/>
      <c r="J516" s="408"/>
      <c r="K516" s="421"/>
      <c r="L516" s="105"/>
      <c r="M516" s="41"/>
      <c r="N516" s="149"/>
      <c r="O516" s="206"/>
      <c r="P516" s="105"/>
      <c r="Q516" s="83"/>
      <c r="R516" s="149"/>
      <c r="S516" s="206"/>
      <c r="U516" s="207"/>
      <c r="V516" s="207"/>
      <c r="W516" s="207"/>
    </row>
    <row r="517" spans="1:24" s="203" customFormat="1">
      <c r="A517" s="40" t="s">
        <v>222</v>
      </c>
      <c r="B517" s="15"/>
      <c r="C517" s="407">
        <v>39838.176133402798</v>
      </c>
      <c r="D517" s="408"/>
      <c r="E517" s="407">
        <f t="shared" ref="E517:E531" si="184">ROUND(C517*$E$544/$C$544,0)</f>
        <v>38351</v>
      </c>
      <c r="F517" s="408"/>
      <c r="G517" s="237">
        <v>4.04</v>
      </c>
      <c r="H517" s="420"/>
      <c r="I517" s="421">
        <f t="shared" ref="I517:I531" si="185">ROUND(C517*$G517,0)</f>
        <v>160946</v>
      </c>
      <c r="J517" s="408"/>
      <c r="K517" s="421">
        <f t="shared" ref="K517:K531" si="186">ROUND(E517*$G517,0)</f>
        <v>154938</v>
      </c>
      <c r="L517" s="105"/>
      <c r="M517" s="41">
        <f t="shared" ref="M517:M531" si="187">ROUND(G517*(1+$V$495),2)</f>
        <v>4.08</v>
      </c>
      <c r="N517" s="149"/>
      <c r="O517" s="206">
        <f t="shared" ref="O517:O531" si="188">ROUND(E517*M517,0)</f>
        <v>156472</v>
      </c>
      <c r="P517" s="105"/>
      <c r="Q517" s="83">
        <f t="shared" ref="Q517:Q531" si="189">$W$275</f>
        <v>-6.4000000000000003E-3</v>
      </c>
      <c r="R517" s="149"/>
      <c r="S517" s="206">
        <f t="shared" ref="S517:S531" si="190">O517*Q517*254/365</f>
        <v>-696.87913205479458</v>
      </c>
      <c r="U517" s="207"/>
      <c r="V517" s="207"/>
      <c r="W517" s="207"/>
      <c r="X517" s="45">
        <f t="shared" ref="X517:X531" si="191">M517/G517-1</f>
        <v>9.9009900990099098E-3</v>
      </c>
    </row>
    <row r="518" spans="1:24" s="203" customFormat="1">
      <c r="A518" s="40" t="s">
        <v>223</v>
      </c>
      <c r="B518" s="15"/>
      <c r="C518" s="407">
        <v>16226.7402639554</v>
      </c>
      <c r="D518" s="408"/>
      <c r="E518" s="407">
        <f t="shared" si="184"/>
        <v>15621</v>
      </c>
      <c r="F518" s="408"/>
      <c r="G518" s="237">
        <v>5.31</v>
      </c>
      <c r="H518" s="420"/>
      <c r="I518" s="421">
        <f t="shared" si="185"/>
        <v>86164</v>
      </c>
      <c r="J518" s="408"/>
      <c r="K518" s="421">
        <f t="shared" si="186"/>
        <v>82948</v>
      </c>
      <c r="L518" s="105"/>
      <c r="M518" s="41">
        <f t="shared" si="187"/>
        <v>5.37</v>
      </c>
      <c r="N518" s="149"/>
      <c r="O518" s="206">
        <f t="shared" si="188"/>
        <v>83885</v>
      </c>
      <c r="P518" s="105"/>
      <c r="Q518" s="83">
        <f t="shared" si="189"/>
        <v>-6.4000000000000003E-3</v>
      </c>
      <c r="R518" s="149"/>
      <c r="S518" s="206">
        <f t="shared" si="190"/>
        <v>-373.5985095890411</v>
      </c>
      <c r="U518" s="207"/>
      <c r="V518" s="207"/>
      <c r="W518" s="207"/>
      <c r="X518" s="45">
        <f t="shared" si="191"/>
        <v>1.1299435028248705E-2</v>
      </c>
    </row>
    <row r="519" spans="1:24" s="203" customFormat="1">
      <c r="A519" s="40" t="s">
        <v>240</v>
      </c>
      <c r="B519" s="15"/>
      <c r="C519" s="407">
        <v>12.000219637702401</v>
      </c>
      <c r="D519" s="408"/>
      <c r="E519" s="407">
        <f t="shared" si="184"/>
        <v>12</v>
      </c>
      <c r="F519" s="408"/>
      <c r="G519" s="237">
        <v>4.51</v>
      </c>
      <c r="H519" s="420"/>
      <c r="I519" s="421">
        <f t="shared" si="185"/>
        <v>54</v>
      </c>
      <c r="J519" s="408"/>
      <c r="K519" s="421">
        <f t="shared" si="186"/>
        <v>54</v>
      </c>
      <c r="L519" s="105"/>
      <c r="M519" s="41">
        <f t="shared" si="187"/>
        <v>4.5599999999999996</v>
      </c>
      <c r="N519" s="149"/>
      <c r="O519" s="206">
        <f t="shared" si="188"/>
        <v>55</v>
      </c>
      <c r="P519" s="105"/>
      <c r="Q519" s="83">
        <f t="shared" si="189"/>
        <v>-6.4000000000000003E-3</v>
      </c>
      <c r="R519" s="149"/>
      <c r="S519" s="206">
        <f t="shared" si="190"/>
        <v>-0.24495342465753428</v>
      </c>
      <c r="U519" s="207"/>
      <c r="V519" s="207"/>
      <c r="W519" s="207"/>
      <c r="X519" s="45">
        <f t="shared" si="191"/>
        <v>1.1086474501108556E-2</v>
      </c>
    </row>
    <row r="520" spans="1:24" s="203" customFormat="1">
      <c r="A520" s="40" t="s">
        <v>241</v>
      </c>
      <c r="B520" s="15"/>
      <c r="C520" s="407">
        <v>9937.9680091920709</v>
      </c>
      <c r="D520" s="408"/>
      <c r="E520" s="407">
        <f t="shared" si="184"/>
        <v>9567</v>
      </c>
      <c r="F520" s="408"/>
      <c r="G520" s="237">
        <v>6.89</v>
      </c>
      <c r="H520" s="420"/>
      <c r="I520" s="421">
        <f t="shared" si="185"/>
        <v>68473</v>
      </c>
      <c r="J520" s="408"/>
      <c r="K520" s="421">
        <f t="shared" si="186"/>
        <v>65917</v>
      </c>
      <c r="L520" s="105"/>
      <c r="M520" s="41">
        <f t="shared" si="187"/>
        <v>6.96</v>
      </c>
      <c r="N520" s="149"/>
      <c r="O520" s="206">
        <f t="shared" si="188"/>
        <v>66586</v>
      </c>
      <c r="P520" s="105"/>
      <c r="Q520" s="83">
        <f t="shared" si="189"/>
        <v>-6.4000000000000003E-3</v>
      </c>
      <c r="R520" s="149"/>
      <c r="S520" s="206">
        <f t="shared" si="190"/>
        <v>-296.55397698630139</v>
      </c>
      <c r="U520" s="207"/>
      <c r="V520" s="207"/>
      <c r="W520" s="207"/>
      <c r="X520" s="45">
        <f t="shared" si="191"/>
        <v>1.0159651669085612E-2</v>
      </c>
    </row>
    <row r="521" spans="1:24" s="203" customFormat="1">
      <c r="A521" s="40" t="s">
        <v>224</v>
      </c>
      <c r="B521" s="15"/>
      <c r="C521" s="407">
        <v>7297.4311075293599</v>
      </c>
      <c r="D521" s="408"/>
      <c r="E521" s="407">
        <f t="shared" si="184"/>
        <v>7025</v>
      </c>
      <c r="F521" s="408"/>
      <c r="G521" s="237">
        <v>6.45</v>
      </c>
      <c r="H521" s="420"/>
      <c r="I521" s="421">
        <f t="shared" si="185"/>
        <v>47068</v>
      </c>
      <c r="J521" s="408"/>
      <c r="K521" s="421">
        <f t="shared" si="186"/>
        <v>45311</v>
      </c>
      <c r="L521" s="105"/>
      <c r="M521" s="41">
        <f t="shared" si="187"/>
        <v>6.52</v>
      </c>
      <c r="N521" s="149"/>
      <c r="O521" s="206">
        <f t="shared" si="188"/>
        <v>45803</v>
      </c>
      <c r="P521" s="105"/>
      <c r="Q521" s="83">
        <f t="shared" si="189"/>
        <v>-6.4000000000000003E-3</v>
      </c>
      <c r="R521" s="149"/>
      <c r="S521" s="206">
        <f t="shared" si="190"/>
        <v>-203.99275835616442</v>
      </c>
      <c r="U521" s="207"/>
      <c r="V521" s="207"/>
      <c r="W521" s="207"/>
      <c r="X521" s="45">
        <f t="shared" si="191"/>
        <v>1.0852713178294504E-2</v>
      </c>
    </row>
    <row r="522" spans="1:24" s="203" customFormat="1">
      <c r="A522" s="40" t="s">
        <v>242</v>
      </c>
      <c r="B522" s="15"/>
      <c r="C522" s="407">
        <v>0</v>
      </c>
      <c r="D522" s="408"/>
      <c r="E522" s="407">
        <f t="shared" si="184"/>
        <v>0</v>
      </c>
      <c r="F522" s="408"/>
      <c r="G522" s="237">
        <v>5.48</v>
      </c>
      <c r="H522" s="420"/>
      <c r="I522" s="421">
        <f t="shared" si="185"/>
        <v>0</v>
      </c>
      <c r="J522" s="408"/>
      <c r="K522" s="421">
        <f t="shared" si="186"/>
        <v>0</v>
      </c>
      <c r="L522" s="105"/>
      <c r="M522" s="41">
        <f t="shared" si="187"/>
        <v>5.54</v>
      </c>
      <c r="N522" s="149"/>
      <c r="O522" s="206">
        <f t="shared" si="188"/>
        <v>0</v>
      </c>
      <c r="P522" s="105"/>
      <c r="Q522" s="83">
        <f t="shared" si="189"/>
        <v>-6.4000000000000003E-3</v>
      </c>
      <c r="R522" s="149"/>
      <c r="S522" s="206">
        <f t="shared" si="190"/>
        <v>0</v>
      </c>
      <c r="U522" s="207"/>
      <c r="V522" s="207"/>
      <c r="W522" s="207"/>
      <c r="X522" s="45">
        <f t="shared" si="191"/>
        <v>1.0948905109488871E-2</v>
      </c>
    </row>
    <row r="523" spans="1:24" s="203" customFormat="1">
      <c r="A523" s="40" t="s">
        <v>243</v>
      </c>
      <c r="B523" s="15"/>
      <c r="C523" s="407">
        <v>1622.2109461689399</v>
      </c>
      <c r="D523" s="408"/>
      <c r="E523" s="407">
        <f t="shared" si="184"/>
        <v>1562</v>
      </c>
      <c r="F523" s="408"/>
      <c r="G523" s="237">
        <v>8.18</v>
      </c>
      <c r="H523" s="420"/>
      <c r="I523" s="421">
        <f t="shared" si="185"/>
        <v>13270</v>
      </c>
      <c r="J523" s="408"/>
      <c r="K523" s="421">
        <f t="shared" si="186"/>
        <v>12777</v>
      </c>
      <c r="L523" s="105"/>
      <c r="M523" s="41">
        <f t="shared" si="187"/>
        <v>8.27</v>
      </c>
      <c r="N523" s="149"/>
      <c r="O523" s="206">
        <f t="shared" si="188"/>
        <v>12918</v>
      </c>
      <c r="P523" s="105"/>
      <c r="Q523" s="83">
        <f t="shared" si="189"/>
        <v>-6.4000000000000003E-3</v>
      </c>
      <c r="R523" s="149"/>
      <c r="S523" s="206">
        <f t="shared" si="190"/>
        <v>-57.532878904109594</v>
      </c>
      <c r="U523" s="207"/>
      <c r="V523" s="207"/>
      <c r="W523" s="207"/>
      <c r="X523" s="45">
        <f t="shared" si="191"/>
        <v>1.1002444987775029E-2</v>
      </c>
    </row>
    <row r="524" spans="1:24" s="203" customFormat="1">
      <c r="A524" s="40" t="s">
        <v>244</v>
      </c>
      <c r="B524" s="15"/>
      <c r="C524" s="407">
        <v>13.4660390529376</v>
      </c>
      <c r="D524" s="408"/>
      <c r="E524" s="407">
        <f t="shared" si="184"/>
        <v>13</v>
      </c>
      <c r="F524" s="408"/>
      <c r="G524" s="237">
        <v>8.17</v>
      </c>
      <c r="H524" s="420"/>
      <c r="I524" s="421">
        <f t="shared" si="185"/>
        <v>110</v>
      </c>
      <c r="J524" s="408"/>
      <c r="K524" s="421">
        <f t="shared" si="186"/>
        <v>106</v>
      </c>
      <c r="L524" s="105"/>
      <c r="M524" s="41">
        <f t="shared" si="187"/>
        <v>8.26</v>
      </c>
      <c r="N524" s="149"/>
      <c r="O524" s="206">
        <f t="shared" si="188"/>
        <v>107</v>
      </c>
      <c r="P524" s="105"/>
      <c r="Q524" s="83">
        <f t="shared" si="189"/>
        <v>-6.4000000000000003E-3</v>
      </c>
      <c r="R524" s="149"/>
      <c r="S524" s="206">
        <f t="shared" si="190"/>
        <v>-0.4765457534246576</v>
      </c>
      <c r="U524" s="207"/>
      <c r="V524" s="207"/>
      <c r="W524" s="207"/>
      <c r="X524" s="45">
        <f t="shared" si="191"/>
        <v>1.1015911872704898E-2</v>
      </c>
    </row>
    <row r="525" spans="1:24" s="203" customFormat="1">
      <c r="A525" s="40" t="s">
        <v>225</v>
      </c>
      <c r="B525" s="15"/>
      <c r="C525" s="407">
        <v>6887.5549799883802</v>
      </c>
      <c r="D525" s="408"/>
      <c r="E525" s="407">
        <f t="shared" si="184"/>
        <v>6630</v>
      </c>
      <c r="F525" s="408"/>
      <c r="G525" s="237">
        <v>9.49</v>
      </c>
      <c r="H525" s="420"/>
      <c r="I525" s="421">
        <f t="shared" si="185"/>
        <v>65363</v>
      </c>
      <c r="J525" s="408"/>
      <c r="K525" s="421">
        <f t="shared" si="186"/>
        <v>62919</v>
      </c>
      <c r="L525" s="105"/>
      <c r="M525" s="41">
        <f t="shared" si="187"/>
        <v>9.59</v>
      </c>
      <c r="N525" s="149"/>
      <c r="O525" s="206">
        <f t="shared" si="188"/>
        <v>63582</v>
      </c>
      <c r="P525" s="105"/>
      <c r="Q525" s="83">
        <f t="shared" si="189"/>
        <v>-6.4000000000000003E-3</v>
      </c>
      <c r="R525" s="149"/>
      <c r="S525" s="206">
        <f t="shared" si="190"/>
        <v>-283.17506630136984</v>
      </c>
      <c r="U525" s="207"/>
      <c r="V525" s="207"/>
      <c r="W525" s="207"/>
      <c r="X525" s="45">
        <f t="shared" si="191"/>
        <v>1.0537407797681642E-2</v>
      </c>
    </row>
    <row r="526" spans="1:24" s="203" customFormat="1">
      <c r="A526" s="40" t="s">
        <v>245</v>
      </c>
      <c r="B526" s="15"/>
      <c r="C526" s="407">
        <v>0</v>
      </c>
      <c r="D526" s="408"/>
      <c r="E526" s="407">
        <f t="shared" si="184"/>
        <v>0</v>
      </c>
      <c r="F526" s="408"/>
      <c r="G526" s="237">
        <v>8.07</v>
      </c>
      <c r="H526" s="420"/>
      <c r="I526" s="421">
        <f t="shared" si="185"/>
        <v>0</v>
      </c>
      <c r="J526" s="408"/>
      <c r="K526" s="421">
        <f t="shared" si="186"/>
        <v>0</v>
      </c>
      <c r="L526" s="105"/>
      <c r="M526" s="41">
        <f t="shared" si="187"/>
        <v>8.16</v>
      </c>
      <c r="N526" s="149"/>
      <c r="O526" s="206">
        <f t="shared" si="188"/>
        <v>0</v>
      </c>
      <c r="P526" s="105"/>
      <c r="Q526" s="83">
        <f t="shared" si="189"/>
        <v>-6.4000000000000003E-3</v>
      </c>
      <c r="R526" s="149"/>
      <c r="S526" s="206">
        <f t="shared" si="190"/>
        <v>0</v>
      </c>
      <c r="U526" s="207"/>
      <c r="V526" s="207"/>
      <c r="W526" s="207"/>
      <c r="X526" s="45">
        <f t="shared" si="191"/>
        <v>1.1152416356877248E-2</v>
      </c>
    </row>
    <row r="527" spans="1:24" s="203" customFormat="1">
      <c r="A527" s="40" t="s">
        <v>246</v>
      </c>
      <c r="B527" s="15"/>
      <c r="C527" s="407">
        <v>164.431745123616</v>
      </c>
      <c r="D527" s="408"/>
      <c r="E527" s="407">
        <f t="shared" si="184"/>
        <v>158</v>
      </c>
      <c r="F527" s="408"/>
      <c r="G527" s="237">
        <v>11.81</v>
      </c>
      <c r="H527" s="420"/>
      <c r="I527" s="421">
        <f t="shared" si="185"/>
        <v>1942</v>
      </c>
      <c r="J527" s="408"/>
      <c r="K527" s="421">
        <f t="shared" si="186"/>
        <v>1866</v>
      </c>
      <c r="L527" s="105"/>
      <c r="M527" s="41">
        <f t="shared" si="187"/>
        <v>11.93</v>
      </c>
      <c r="N527" s="149"/>
      <c r="O527" s="206">
        <f t="shared" si="188"/>
        <v>1885</v>
      </c>
      <c r="P527" s="105"/>
      <c r="Q527" s="83">
        <f t="shared" si="189"/>
        <v>-6.4000000000000003E-3</v>
      </c>
      <c r="R527" s="149"/>
      <c r="S527" s="206">
        <f t="shared" si="190"/>
        <v>-8.3952219178082181</v>
      </c>
      <c r="U527" s="207"/>
      <c r="V527" s="207"/>
      <c r="W527" s="207"/>
      <c r="X527" s="45">
        <f t="shared" si="191"/>
        <v>1.01608806096527E-2</v>
      </c>
    </row>
    <row r="528" spans="1:24" s="203" customFormat="1">
      <c r="A528" s="40" t="s">
        <v>226</v>
      </c>
      <c r="B528" s="15"/>
      <c r="C528" s="407">
        <v>10605.1996026384</v>
      </c>
      <c r="D528" s="408"/>
      <c r="E528" s="407">
        <f t="shared" si="184"/>
        <v>10209</v>
      </c>
      <c r="F528" s="408"/>
      <c r="G528" s="237">
        <v>13.85</v>
      </c>
      <c r="H528" s="420"/>
      <c r="I528" s="421">
        <f t="shared" si="185"/>
        <v>146882</v>
      </c>
      <c r="J528" s="408"/>
      <c r="K528" s="421">
        <f t="shared" si="186"/>
        <v>141395</v>
      </c>
      <c r="L528" s="105"/>
      <c r="M528" s="41">
        <f t="shared" si="187"/>
        <v>14</v>
      </c>
      <c r="N528" s="149"/>
      <c r="O528" s="206">
        <f t="shared" si="188"/>
        <v>142926</v>
      </c>
      <c r="P528" s="105"/>
      <c r="Q528" s="83">
        <f t="shared" si="189"/>
        <v>-6.4000000000000003E-3</v>
      </c>
      <c r="R528" s="149"/>
      <c r="S528" s="206">
        <f t="shared" si="190"/>
        <v>-636.54933041095887</v>
      </c>
      <c r="U528" s="207"/>
      <c r="V528" s="207"/>
      <c r="W528" s="207"/>
      <c r="X528" s="45">
        <f t="shared" si="191"/>
        <v>1.0830324909747224E-2</v>
      </c>
    </row>
    <row r="529" spans="1:24" s="203" customFormat="1">
      <c r="A529" s="82" t="s">
        <v>247</v>
      </c>
      <c r="B529" s="105"/>
      <c r="C529" s="407">
        <v>0</v>
      </c>
      <c r="D529" s="408"/>
      <c r="E529" s="407">
        <f t="shared" si="184"/>
        <v>0</v>
      </c>
      <c r="F529" s="408"/>
      <c r="G529" s="420">
        <v>11.77</v>
      </c>
      <c r="H529" s="420"/>
      <c r="I529" s="421">
        <f t="shared" si="185"/>
        <v>0</v>
      </c>
      <c r="J529" s="408"/>
      <c r="K529" s="421">
        <f t="shared" si="186"/>
        <v>0</v>
      </c>
      <c r="L529" s="105"/>
      <c r="M529" s="149">
        <f t="shared" si="187"/>
        <v>11.89</v>
      </c>
      <c r="N529" s="149"/>
      <c r="O529" s="204">
        <f t="shared" si="188"/>
        <v>0</v>
      </c>
      <c r="P529" s="105"/>
      <c r="Q529" s="205">
        <f t="shared" si="189"/>
        <v>-6.4000000000000003E-3</v>
      </c>
      <c r="R529" s="149"/>
      <c r="S529" s="204">
        <f t="shared" si="190"/>
        <v>0</v>
      </c>
      <c r="U529" s="207"/>
      <c r="V529" s="207"/>
      <c r="W529" s="207"/>
      <c r="X529" s="45">
        <f t="shared" si="191"/>
        <v>1.0195412064571086E-2</v>
      </c>
    </row>
    <row r="530" spans="1:24" s="203" customFormat="1">
      <c r="A530" s="40" t="s">
        <v>248</v>
      </c>
      <c r="B530" s="15"/>
      <c r="C530" s="407">
        <v>284.31428571428597</v>
      </c>
      <c r="D530" s="408"/>
      <c r="E530" s="407">
        <f t="shared" si="184"/>
        <v>274</v>
      </c>
      <c r="F530" s="408"/>
      <c r="G530" s="237">
        <v>15.4</v>
      </c>
      <c r="H530" s="420"/>
      <c r="I530" s="421">
        <f t="shared" si="185"/>
        <v>4378</v>
      </c>
      <c r="J530" s="408"/>
      <c r="K530" s="421">
        <f t="shared" si="186"/>
        <v>4220</v>
      </c>
      <c r="L530" s="105"/>
      <c r="M530" s="41">
        <f t="shared" si="187"/>
        <v>15.56</v>
      </c>
      <c r="N530" s="149"/>
      <c r="O530" s="206">
        <f t="shared" si="188"/>
        <v>4263</v>
      </c>
      <c r="P530" s="105"/>
      <c r="Q530" s="83">
        <f t="shared" si="189"/>
        <v>-6.4000000000000003E-3</v>
      </c>
      <c r="R530" s="149"/>
      <c r="S530" s="206">
        <f t="shared" si="190"/>
        <v>-18.986117260273975</v>
      </c>
      <c r="U530" s="207"/>
      <c r="V530" s="207"/>
      <c r="W530" s="207"/>
      <c r="X530" s="45">
        <f t="shared" si="191"/>
        <v>1.0389610389610393E-2</v>
      </c>
    </row>
    <row r="531" spans="1:24" s="203" customFormat="1">
      <c r="A531" s="40" t="s">
        <v>191</v>
      </c>
      <c r="B531" s="15"/>
      <c r="C531" s="407">
        <v>0</v>
      </c>
      <c r="D531" s="408"/>
      <c r="E531" s="422">
        <f t="shared" si="184"/>
        <v>0</v>
      </c>
      <c r="F531" s="408"/>
      <c r="G531" s="420">
        <v>26.1</v>
      </c>
      <c r="H531" s="420"/>
      <c r="I531" s="421">
        <f t="shared" si="185"/>
        <v>0</v>
      </c>
      <c r="J531" s="408"/>
      <c r="K531" s="421">
        <f t="shared" si="186"/>
        <v>0</v>
      </c>
      <c r="L531" s="105"/>
      <c r="M531" s="149">
        <f t="shared" si="187"/>
        <v>26.38</v>
      </c>
      <c r="N531" s="149"/>
      <c r="O531" s="204">
        <f t="shared" si="188"/>
        <v>0</v>
      </c>
      <c r="P531" s="105"/>
      <c r="Q531" s="205">
        <f t="shared" si="189"/>
        <v>-6.4000000000000003E-3</v>
      </c>
      <c r="R531" s="149"/>
      <c r="S531" s="204">
        <f t="shared" si="190"/>
        <v>0</v>
      </c>
      <c r="U531" s="207"/>
      <c r="V531" s="207"/>
      <c r="W531" s="207"/>
      <c r="X531" s="45">
        <f t="shared" si="191"/>
        <v>1.0727969348658828E-2</v>
      </c>
    </row>
    <row r="532" spans="1:24" s="203" customFormat="1">
      <c r="A532" s="158" t="s">
        <v>192</v>
      </c>
      <c r="B532" s="15"/>
      <c r="C532" s="407"/>
      <c r="D532" s="408"/>
      <c r="E532" s="407"/>
      <c r="F532" s="408"/>
      <c r="G532" s="237"/>
      <c r="H532" s="420"/>
      <c r="I532" s="409"/>
      <c r="J532" s="408"/>
      <c r="K532" s="409"/>
      <c r="L532" s="105"/>
      <c r="M532" s="41"/>
      <c r="N532" s="149"/>
      <c r="O532" s="15"/>
      <c r="P532" s="105"/>
      <c r="Q532" s="83"/>
      <c r="R532" s="149"/>
      <c r="S532" s="202"/>
      <c r="U532" s="207"/>
      <c r="V532" s="207"/>
      <c r="W532" s="207"/>
    </row>
    <row r="533" spans="1:24" s="203" customFormat="1">
      <c r="A533" s="40" t="s">
        <v>249</v>
      </c>
      <c r="B533" s="15"/>
      <c r="C533" s="407">
        <v>421.96039603960401</v>
      </c>
      <c r="D533" s="408"/>
      <c r="E533" s="407">
        <f t="shared" ref="E533:E540" si="192">ROUND(C533*$E$544/$C$544,0)</f>
        <v>406</v>
      </c>
      <c r="F533" s="408"/>
      <c r="G533" s="237">
        <v>9.09</v>
      </c>
      <c r="H533" s="420"/>
      <c r="I533" s="421">
        <f t="shared" ref="I533:I540" si="193">ROUND(C533*$G533,0)</f>
        <v>3836</v>
      </c>
      <c r="J533" s="408"/>
      <c r="K533" s="421">
        <f t="shared" ref="K533:K540" si="194">ROUND(E533*$G533,0)</f>
        <v>3691</v>
      </c>
      <c r="L533" s="105"/>
      <c r="M533" s="41">
        <f t="shared" ref="M533:M540" si="195">ROUND(G533*(1+$V$495),2)</f>
        <v>9.19</v>
      </c>
      <c r="N533" s="149"/>
      <c r="O533" s="206">
        <f t="shared" ref="O533:O540" si="196">ROUND(E533*M533,0)</f>
        <v>3731</v>
      </c>
      <c r="P533" s="105"/>
      <c r="Q533" s="83">
        <f t="shared" ref="Q533:Q540" si="197">$W$275</f>
        <v>-6.4000000000000003E-3</v>
      </c>
      <c r="R533" s="149"/>
      <c r="S533" s="206">
        <f t="shared" ref="S533:S540" si="198">O533*Q533*254/365</f>
        <v>-16.616749589041099</v>
      </c>
      <c r="U533" s="207"/>
      <c r="V533" s="207"/>
      <c r="W533" s="207"/>
      <c r="X533" s="45">
        <f t="shared" ref="X533:X540" si="199">M533/G533-1</f>
        <v>1.1001100110010986E-2</v>
      </c>
    </row>
    <row r="534" spans="1:24" s="203" customFormat="1">
      <c r="A534" s="40" t="s">
        <v>228</v>
      </c>
      <c r="B534" s="15"/>
      <c r="C534" s="407">
        <v>899.36723434183</v>
      </c>
      <c r="D534" s="408"/>
      <c r="E534" s="407">
        <f t="shared" si="192"/>
        <v>866</v>
      </c>
      <c r="F534" s="408"/>
      <c r="G534" s="237">
        <v>13.43</v>
      </c>
      <c r="H534" s="420"/>
      <c r="I534" s="421">
        <f t="shared" si="193"/>
        <v>12079</v>
      </c>
      <c r="J534" s="408"/>
      <c r="K534" s="421">
        <f t="shared" si="194"/>
        <v>11630</v>
      </c>
      <c r="L534" s="105"/>
      <c r="M534" s="41">
        <f t="shared" si="195"/>
        <v>13.57</v>
      </c>
      <c r="N534" s="149"/>
      <c r="O534" s="206">
        <f t="shared" si="196"/>
        <v>11752</v>
      </c>
      <c r="P534" s="105"/>
      <c r="Q534" s="83">
        <f t="shared" si="197"/>
        <v>-6.4000000000000003E-3</v>
      </c>
      <c r="R534" s="149"/>
      <c r="S534" s="206">
        <f t="shared" si="198"/>
        <v>-52.339866301369867</v>
      </c>
      <c r="U534" s="207"/>
      <c r="V534" s="207"/>
      <c r="W534" s="207"/>
      <c r="X534" s="45">
        <f t="shared" si="199"/>
        <v>1.0424422933730471E-2</v>
      </c>
    </row>
    <row r="535" spans="1:24" s="203" customFormat="1">
      <c r="A535" s="40" t="s">
        <v>250</v>
      </c>
      <c r="B535" s="15"/>
      <c r="C535" s="407">
        <v>0</v>
      </c>
      <c r="D535" s="408"/>
      <c r="E535" s="407">
        <f t="shared" si="192"/>
        <v>0</v>
      </c>
      <c r="F535" s="408"/>
      <c r="G535" s="237">
        <v>11.42</v>
      </c>
      <c r="H535" s="420"/>
      <c r="I535" s="421">
        <f t="shared" si="193"/>
        <v>0</v>
      </c>
      <c r="J535" s="408"/>
      <c r="K535" s="421">
        <f t="shared" si="194"/>
        <v>0</v>
      </c>
      <c r="L535" s="105"/>
      <c r="M535" s="41">
        <f t="shared" si="195"/>
        <v>11.54</v>
      </c>
      <c r="N535" s="149"/>
      <c r="O535" s="206">
        <f t="shared" si="196"/>
        <v>0</v>
      </c>
      <c r="P535" s="105"/>
      <c r="Q535" s="83">
        <f t="shared" si="197"/>
        <v>-6.4000000000000003E-3</v>
      </c>
      <c r="R535" s="149"/>
      <c r="S535" s="206">
        <f t="shared" si="198"/>
        <v>0</v>
      </c>
      <c r="U535" s="207"/>
      <c r="V535" s="207"/>
      <c r="W535" s="207"/>
      <c r="X535" s="45">
        <f t="shared" si="199"/>
        <v>1.0507880910682887E-2</v>
      </c>
    </row>
    <row r="536" spans="1:24" s="203" customFormat="1">
      <c r="A536" s="40" t="s">
        <v>251</v>
      </c>
      <c r="B536" s="15"/>
      <c r="C536" s="407">
        <v>2785.1370778430201</v>
      </c>
      <c r="D536" s="408"/>
      <c r="E536" s="407">
        <f t="shared" si="192"/>
        <v>2681</v>
      </c>
      <c r="F536" s="408"/>
      <c r="G536" s="237">
        <v>10.97</v>
      </c>
      <c r="H536" s="420"/>
      <c r="I536" s="421">
        <f t="shared" si="193"/>
        <v>30553</v>
      </c>
      <c r="J536" s="408"/>
      <c r="K536" s="421">
        <f t="shared" si="194"/>
        <v>29411</v>
      </c>
      <c r="L536" s="105"/>
      <c r="M536" s="41">
        <f t="shared" si="195"/>
        <v>11.09</v>
      </c>
      <c r="N536" s="149"/>
      <c r="O536" s="206">
        <f t="shared" si="196"/>
        <v>29732</v>
      </c>
      <c r="P536" s="105"/>
      <c r="Q536" s="83">
        <f t="shared" si="197"/>
        <v>-6.4000000000000003E-3</v>
      </c>
      <c r="R536" s="149"/>
      <c r="S536" s="206">
        <f t="shared" si="198"/>
        <v>-132.41736767123288</v>
      </c>
      <c r="U536" s="207"/>
      <c r="V536" s="207"/>
      <c r="W536" s="207"/>
      <c r="X536" s="45">
        <f t="shared" si="199"/>
        <v>1.0938924339106482E-2</v>
      </c>
    </row>
    <row r="537" spans="1:24" s="203" customFormat="1">
      <c r="A537" s="40" t="s">
        <v>229</v>
      </c>
      <c r="B537" s="15"/>
      <c r="C537" s="407">
        <v>486.40825350036801</v>
      </c>
      <c r="D537" s="408"/>
      <c r="E537" s="407">
        <f t="shared" si="192"/>
        <v>468</v>
      </c>
      <c r="F537" s="408"/>
      <c r="G537" s="237">
        <v>13.57</v>
      </c>
      <c r="H537" s="420"/>
      <c r="I537" s="421">
        <f t="shared" si="193"/>
        <v>6601</v>
      </c>
      <c r="J537" s="408"/>
      <c r="K537" s="421">
        <f t="shared" si="194"/>
        <v>6351</v>
      </c>
      <c r="L537" s="105"/>
      <c r="M537" s="41">
        <f t="shared" si="195"/>
        <v>13.71</v>
      </c>
      <c r="N537" s="149"/>
      <c r="O537" s="206">
        <f t="shared" si="196"/>
        <v>6416</v>
      </c>
      <c r="P537" s="105"/>
      <c r="Q537" s="83">
        <f t="shared" si="197"/>
        <v>-6.4000000000000003E-3</v>
      </c>
      <c r="R537" s="149"/>
      <c r="S537" s="206">
        <f t="shared" si="198"/>
        <v>-28.574930410958906</v>
      </c>
      <c r="U537" s="207"/>
      <c r="V537" s="207"/>
      <c r="W537" s="207"/>
      <c r="X537" s="45">
        <f t="shared" si="199"/>
        <v>1.0316875460574915E-2</v>
      </c>
    </row>
    <row r="538" spans="1:24" s="203" customFormat="1">
      <c r="A538" s="40" t="s">
        <v>252</v>
      </c>
      <c r="B538" s="15"/>
      <c r="C538" s="407">
        <v>5044.0212109928698</v>
      </c>
      <c r="D538" s="408"/>
      <c r="E538" s="407">
        <f t="shared" si="192"/>
        <v>4856</v>
      </c>
      <c r="F538" s="408"/>
      <c r="G538" s="237">
        <v>13.98</v>
      </c>
      <c r="H538" s="420"/>
      <c r="I538" s="421">
        <f t="shared" si="193"/>
        <v>70515</v>
      </c>
      <c r="J538" s="408"/>
      <c r="K538" s="421">
        <f t="shared" si="194"/>
        <v>67887</v>
      </c>
      <c r="L538" s="105"/>
      <c r="M538" s="41">
        <f t="shared" si="195"/>
        <v>14.13</v>
      </c>
      <c r="N538" s="149"/>
      <c r="O538" s="206">
        <f t="shared" si="196"/>
        <v>68615</v>
      </c>
      <c r="P538" s="105"/>
      <c r="Q538" s="83">
        <f t="shared" si="197"/>
        <v>-6.4000000000000003E-3</v>
      </c>
      <c r="R538" s="149"/>
      <c r="S538" s="206">
        <f t="shared" si="198"/>
        <v>-305.59053150684935</v>
      </c>
      <c r="U538" s="207"/>
      <c r="V538" s="207"/>
      <c r="W538" s="207"/>
      <c r="X538" s="45">
        <f t="shared" si="199"/>
        <v>1.0729613733905685E-2</v>
      </c>
    </row>
    <row r="539" spans="1:24" s="203" customFormat="1">
      <c r="A539" s="40" t="s">
        <v>230</v>
      </c>
      <c r="B539" s="15"/>
      <c r="C539" s="407">
        <v>500.49861399861402</v>
      </c>
      <c r="D539" s="408"/>
      <c r="E539" s="407">
        <f t="shared" si="192"/>
        <v>482</v>
      </c>
      <c r="F539" s="408"/>
      <c r="G539" s="237">
        <v>14.43</v>
      </c>
      <c r="H539" s="420"/>
      <c r="I539" s="421">
        <f t="shared" si="193"/>
        <v>7222</v>
      </c>
      <c r="J539" s="408"/>
      <c r="K539" s="421">
        <f t="shared" si="194"/>
        <v>6955</v>
      </c>
      <c r="L539" s="105"/>
      <c r="M539" s="41">
        <f t="shared" si="195"/>
        <v>14.58</v>
      </c>
      <c r="N539" s="149"/>
      <c r="O539" s="206">
        <f t="shared" si="196"/>
        <v>7028</v>
      </c>
      <c r="P539" s="105"/>
      <c r="Q539" s="83">
        <f t="shared" si="197"/>
        <v>-6.4000000000000003E-3</v>
      </c>
      <c r="R539" s="149"/>
      <c r="S539" s="206">
        <f t="shared" si="198"/>
        <v>-31.300593972602741</v>
      </c>
      <c r="U539" s="207"/>
      <c r="V539" s="207"/>
      <c r="W539" s="207"/>
      <c r="X539" s="45">
        <f t="shared" si="199"/>
        <v>1.039501039501034E-2</v>
      </c>
    </row>
    <row r="540" spans="1:24" s="203" customFormat="1">
      <c r="A540" s="40" t="s">
        <v>253</v>
      </c>
      <c r="B540" s="15"/>
      <c r="C540" s="407">
        <v>461.946222791293</v>
      </c>
      <c r="D540" s="408"/>
      <c r="E540" s="422">
        <f t="shared" si="192"/>
        <v>445</v>
      </c>
      <c r="F540" s="408"/>
      <c r="G540" s="420">
        <v>15.62</v>
      </c>
      <c r="H540" s="420"/>
      <c r="I540" s="421">
        <f t="shared" si="193"/>
        <v>7216</v>
      </c>
      <c r="J540" s="408"/>
      <c r="K540" s="421">
        <f t="shared" si="194"/>
        <v>6951</v>
      </c>
      <c r="L540" s="105"/>
      <c r="M540" s="149">
        <f t="shared" si="195"/>
        <v>15.79</v>
      </c>
      <c r="N540" s="149"/>
      <c r="O540" s="204">
        <f t="shared" si="196"/>
        <v>7027</v>
      </c>
      <c r="P540" s="105"/>
      <c r="Q540" s="205">
        <f t="shared" si="197"/>
        <v>-6.4000000000000003E-3</v>
      </c>
      <c r="R540" s="149"/>
      <c r="S540" s="204">
        <f t="shared" si="198"/>
        <v>-31.296140273972604</v>
      </c>
      <c r="U540" s="207"/>
      <c r="V540" s="207"/>
      <c r="W540" s="207"/>
      <c r="X540" s="45">
        <f t="shared" si="199"/>
        <v>1.0883482714468595E-2</v>
      </c>
    </row>
    <row r="541" spans="1:24" s="203" customFormat="1">
      <c r="A541" s="158" t="s">
        <v>254</v>
      </c>
      <c r="B541" s="15"/>
      <c r="C541" s="407"/>
      <c r="D541" s="408"/>
      <c r="E541" s="407"/>
      <c r="F541" s="408"/>
      <c r="G541" s="237"/>
      <c r="H541" s="420"/>
      <c r="I541" s="421"/>
      <c r="J541" s="408"/>
      <c r="K541" s="421"/>
      <c r="L541" s="105"/>
      <c r="M541" s="41"/>
      <c r="N541" s="149"/>
      <c r="O541" s="206"/>
      <c r="P541" s="105"/>
      <c r="Q541" s="83"/>
      <c r="R541" s="149"/>
      <c r="S541" s="206"/>
      <c r="U541" s="207"/>
      <c r="V541" s="207"/>
      <c r="W541" s="207"/>
    </row>
    <row r="542" spans="1:24" s="203" customFormat="1">
      <c r="A542" s="40" t="s">
        <v>255</v>
      </c>
      <c r="B542" s="15"/>
      <c r="C542" s="407">
        <v>12</v>
      </c>
      <c r="D542" s="408"/>
      <c r="E542" s="407">
        <f>ROUND(C542*$E$544/$C$544,0)</f>
        <v>12</v>
      </c>
      <c r="F542" s="408"/>
      <c r="G542" s="237">
        <v>3.71</v>
      </c>
      <c r="H542" s="420"/>
      <c r="I542" s="421">
        <f>ROUND(C542*$G542,0)</f>
        <v>45</v>
      </c>
      <c r="J542" s="408"/>
      <c r="K542" s="421">
        <f>ROUND(E542*$G542,0)</f>
        <v>45</v>
      </c>
      <c r="L542" s="105"/>
      <c r="M542" s="41">
        <f>ROUND(G542*(1+$V$495),2)</f>
        <v>3.75</v>
      </c>
      <c r="N542" s="149"/>
      <c r="O542" s="206">
        <f>ROUND(E542*M542,0)</f>
        <v>45</v>
      </c>
      <c r="P542" s="105"/>
      <c r="Q542" s="83">
        <f t="shared" ref="Q542:Q543" si="200">$W$275</f>
        <v>-6.4000000000000003E-3</v>
      </c>
      <c r="R542" s="149"/>
      <c r="S542" s="206">
        <f t="shared" ref="S542:S543" si="201">O542*Q542*254/365</f>
        <v>-0.20041643835616443</v>
      </c>
      <c r="U542" s="207"/>
      <c r="V542" s="207"/>
      <c r="W542" s="207"/>
      <c r="X542" s="45">
        <f t="shared" ref="X542:X543" si="202">M542/G542-1</f>
        <v>1.0781671159029615E-2</v>
      </c>
    </row>
    <row r="543" spans="1:24" s="203" customFormat="1">
      <c r="A543" s="40" t="s">
        <v>256</v>
      </c>
      <c r="B543" s="15"/>
      <c r="C543" s="407">
        <v>84.000064540098506</v>
      </c>
      <c r="D543" s="408"/>
      <c r="E543" s="407">
        <f>ROUND(C543*$E$544/$C$544,0)</f>
        <v>81</v>
      </c>
      <c r="F543" s="408"/>
      <c r="G543" s="237">
        <v>13.77</v>
      </c>
      <c r="H543" s="420"/>
      <c r="I543" s="421">
        <f>ROUND(C543*$G543,0)</f>
        <v>1157</v>
      </c>
      <c r="J543" s="408"/>
      <c r="K543" s="421">
        <f>ROUND(E543*$G543,0)</f>
        <v>1115</v>
      </c>
      <c r="L543" s="105"/>
      <c r="M543" s="41">
        <f>ROUND(G543*(1+$V$495),2)</f>
        <v>13.92</v>
      </c>
      <c r="N543" s="149"/>
      <c r="O543" s="206">
        <f>ROUND(E543*M543,0)</f>
        <v>1128</v>
      </c>
      <c r="P543" s="105"/>
      <c r="Q543" s="83">
        <f t="shared" si="200"/>
        <v>-6.4000000000000003E-3</v>
      </c>
      <c r="R543" s="149"/>
      <c r="S543" s="206">
        <f t="shared" si="201"/>
        <v>-5.023772054794521</v>
      </c>
      <c r="U543" s="207"/>
      <c r="V543" s="207"/>
      <c r="W543" s="207"/>
      <c r="X543" s="45">
        <f t="shared" si="202"/>
        <v>1.089324618736387E-2</v>
      </c>
    </row>
    <row r="544" spans="1:24" s="203" customFormat="1">
      <c r="A544" s="158" t="s">
        <v>232</v>
      </c>
      <c r="B544" s="15"/>
      <c r="C544" s="422">
        <v>5984316.1071743211</v>
      </c>
      <c r="D544" s="408"/>
      <c r="E544" s="422">
        <f>ROUND(C544*$E$574/$C$574,0)</f>
        <v>5760859</v>
      </c>
      <c r="F544" s="408"/>
      <c r="G544" s="237"/>
      <c r="H544" s="424"/>
      <c r="I544" s="427">
        <f>SUM(I507:I543)</f>
        <v>743500</v>
      </c>
      <c r="J544" s="408"/>
      <c r="K544" s="427">
        <f>SUM(K507:K543)</f>
        <v>715766</v>
      </c>
      <c r="L544" s="105"/>
      <c r="M544" s="220"/>
      <c r="N544" s="149"/>
      <c r="O544" s="204">
        <f>SUM(O507:O543)</f>
        <v>723331</v>
      </c>
      <c r="P544" s="105"/>
      <c r="Q544" s="221"/>
      <c r="R544" s="149"/>
      <c r="S544" s="204">
        <f>SUM(S507:S543)</f>
        <v>-3221.4982838356168</v>
      </c>
      <c r="U544" s="207"/>
      <c r="V544" s="207"/>
      <c r="W544" s="207"/>
    </row>
    <row r="545" spans="1:24" s="203" customFormat="1">
      <c r="A545" s="158" t="s">
        <v>129</v>
      </c>
      <c r="B545" s="15"/>
      <c r="C545" s="422">
        <v>64342</v>
      </c>
      <c r="D545" s="408"/>
      <c r="E545" s="422"/>
      <c r="F545" s="408"/>
      <c r="G545" s="237"/>
      <c r="H545" s="424"/>
      <c r="I545" s="427">
        <v>5589</v>
      </c>
      <c r="J545" s="408"/>
      <c r="K545" s="427"/>
      <c r="L545" s="105"/>
      <c r="M545" s="220"/>
      <c r="N545" s="149"/>
      <c r="O545" s="204"/>
      <c r="P545" s="105"/>
      <c r="Q545" s="221"/>
      <c r="R545" s="149"/>
      <c r="S545" s="204"/>
      <c r="U545" s="207"/>
      <c r="V545" s="207"/>
      <c r="W545" s="207"/>
    </row>
    <row r="546" spans="1:24" s="203" customFormat="1">
      <c r="A546" s="158" t="s">
        <v>218</v>
      </c>
      <c r="B546" s="15"/>
      <c r="C546" s="422">
        <f>SUM(C544:C545)</f>
        <v>6048658.1071743211</v>
      </c>
      <c r="D546" s="408"/>
      <c r="E546" s="422"/>
      <c r="F546" s="408"/>
      <c r="G546" s="237"/>
      <c r="H546" s="424"/>
      <c r="I546" s="427">
        <f>SUM(I544:I545)</f>
        <v>749089</v>
      </c>
      <c r="J546" s="408"/>
      <c r="K546" s="427">
        <f>SUM(K544:K545)</f>
        <v>715766</v>
      </c>
      <c r="L546" s="105"/>
      <c r="M546" s="220"/>
      <c r="N546" s="149"/>
      <c r="O546" s="204">
        <f>SUM(O544:O545)</f>
        <v>723331</v>
      </c>
      <c r="P546" s="105"/>
      <c r="Q546" s="221"/>
      <c r="R546" s="149"/>
      <c r="S546" s="204">
        <f>SUM(S544:S545)</f>
        <v>-3221.4982838356168</v>
      </c>
      <c r="U546" s="207"/>
      <c r="V546" s="207"/>
      <c r="W546" s="207"/>
    </row>
    <row r="547" spans="1:24" s="203" customFormat="1">
      <c r="A547" s="223" t="s">
        <v>257</v>
      </c>
      <c r="B547" s="15"/>
      <c r="C547" s="407"/>
      <c r="D547" s="408"/>
      <c r="E547" s="407"/>
      <c r="F547" s="408"/>
      <c r="G547" s="237"/>
      <c r="H547" s="420"/>
      <c r="I547" s="409"/>
      <c r="J547" s="408"/>
      <c r="K547" s="409"/>
      <c r="L547" s="105"/>
      <c r="M547" s="41"/>
      <c r="N547" s="149"/>
      <c r="O547" s="15"/>
      <c r="P547" s="105"/>
      <c r="Q547" s="83"/>
      <c r="R547" s="149"/>
      <c r="S547" s="202"/>
      <c r="U547" s="207"/>
      <c r="V547" s="207"/>
      <c r="W547" s="207"/>
    </row>
    <row r="548" spans="1:24" s="203" customFormat="1">
      <c r="A548" s="158" t="s">
        <v>234</v>
      </c>
      <c r="B548" s="15"/>
      <c r="C548" s="407"/>
      <c r="D548" s="408"/>
      <c r="E548" s="407"/>
      <c r="F548" s="408"/>
      <c r="G548" s="237"/>
      <c r="H548" s="420"/>
      <c r="I548" s="421"/>
      <c r="J548" s="408"/>
      <c r="K548" s="421"/>
      <c r="L548" s="105"/>
      <c r="M548" s="41"/>
      <c r="N548" s="149"/>
      <c r="O548" s="206"/>
      <c r="P548" s="105"/>
      <c r="Q548" s="83"/>
      <c r="R548" s="149"/>
      <c r="S548" s="206"/>
      <c r="U548" s="207"/>
      <c r="V548" s="207"/>
      <c r="W548" s="207"/>
    </row>
    <row r="549" spans="1:24" s="203" customFormat="1">
      <c r="A549" s="40" t="s">
        <v>212</v>
      </c>
      <c r="B549" s="15"/>
      <c r="C549" s="407">
        <v>64.133266818700093</v>
      </c>
      <c r="D549" s="408"/>
      <c r="E549" s="407">
        <f>ROUND(C549*$E$570/$C$570,0)</f>
        <v>62</v>
      </c>
      <c r="F549" s="408"/>
      <c r="G549" s="237">
        <v>17.54</v>
      </c>
      <c r="H549" s="420"/>
      <c r="I549" s="421">
        <f>ROUND(C549*$G549,0)</f>
        <v>1125</v>
      </c>
      <c r="J549" s="408"/>
      <c r="K549" s="421">
        <f>ROUND(E549*$G549,0)</f>
        <v>1087</v>
      </c>
      <c r="L549" s="105"/>
      <c r="M549" s="41">
        <f>ROUND(G549*(1+$V$495),2)</f>
        <v>17.73</v>
      </c>
      <c r="N549" s="149"/>
      <c r="O549" s="206">
        <f>ROUND(E549*M549,0)</f>
        <v>1099</v>
      </c>
      <c r="P549" s="105"/>
      <c r="Q549" s="83">
        <f t="shared" ref="Q549:Q550" si="203">$W$275</f>
        <v>-6.4000000000000003E-3</v>
      </c>
      <c r="R549" s="149"/>
      <c r="S549" s="206">
        <f t="shared" ref="S549:S550" si="204">O549*Q549*254/365</f>
        <v>-4.8946147945205487</v>
      </c>
      <c r="U549" s="207"/>
      <c r="V549" s="207"/>
      <c r="W549" s="207"/>
      <c r="X549" s="45">
        <f t="shared" ref="X549:X550" si="205">M549/G549-1</f>
        <v>1.0832383124287359E-2</v>
      </c>
    </row>
    <row r="550" spans="1:24" s="203" customFormat="1">
      <c r="A550" s="40" t="s">
        <v>206</v>
      </c>
      <c r="B550" s="15"/>
      <c r="C550" s="407">
        <v>12</v>
      </c>
      <c r="D550" s="408"/>
      <c r="E550" s="407">
        <f>ROUND(C550*$E$570/$C$570,0)</f>
        <v>12</v>
      </c>
      <c r="F550" s="408"/>
      <c r="G550" s="237">
        <v>23.16</v>
      </c>
      <c r="H550" s="420"/>
      <c r="I550" s="421">
        <f>ROUND(C550*$G550,0)</f>
        <v>278</v>
      </c>
      <c r="J550" s="408"/>
      <c r="K550" s="421">
        <f>ROUND(E550*$G550,0)</f>
        <v>278</v>
      </c>
      <c r="L550" s="105"/>
      <c r="M550" s="41">
        <f>ROUND(G550*(1+$V$495),2)</f>
        <v>23.4</v>
      </c>
      <c r="N550" s="149"/>
      <c r="O550" s="206">
        <f>ROUND(E550*M550,0)</f>
        <v>281</v>
      </c>
      <c r="P550" s="105"/>
      <c r="Q550" s="83">
        <f t="shared" si="203"/>
        <v>-6.4000000000000003E-3</v>
      </c>
      <c r="R550" s="149"/>
      <c r="S550" s="206">
        <f t="shared" si="204"/>
        <v>-1.2514893150684931</v>
      </c>
      <c r="U550" s="207"/>
      <c r="V550" s="207"/>
      <c r="W550" s="207"/>
      <c r="X550" s="45">
        <f t="shared" si="205"/>
        <v>1.0362694300518172E-2</v>
      </c>
    </row>
    <row r="551" spans="1:24" s="203" customFormat="1">
      <c r="A551" s="158" t="s">
        <v>237</v>
      </c>
      <c r="B551" s="15"/>
      <c r="C551" s="407"/>
      <c r="D551" s="408"/>
      <c r="E551" s="407"/>
      <c r="F551" s="408"/>
      <c r="G551" s="409"/>
      <c r="H551" s="408"/>
      <c r="I551" s="409"/>
      <c r="J551" s="408"/>
      <c r="K551" s="409"/>
      <c r="L551" s="105"/>
      <c r="M551" s="15"/>
      <c r="N551" s="105"/>
      <c r="O551" s="15"/>
      <c r="P551" s="105"/>
      <c r="Q551" s="141"/>
      <c r="R551" s="105"/>
      <c r="S551" s="202"/>
      <c r="U551" s="207"/>
      <c r="V551" s="207"/>
      <c r="W551" s="207"/>
    </row>
    <row r="552" spans="1:24" s="203" customFormat="1">
      <c r="A552" s="40" t="s">
        <v>102</v>
      </c>
      <c r="B552" s="15"/>
      <c r="C552" s="407">
        <v>69.667560809274804</v>
      </c>
      <c r="D552" s="408"/>
      <c r="E552" s="407">
        <f>ROUND(C552*$E$570/$C$570,0)</f>
        <v>67</v>
      </c>
      <c r="F552" s="408"/>
      <c r="G552" s="237">
        <v>7.95</v>
      </c>
      <c r="H552" s="420"/>
      <c r="I552" s="421">
        <f>ROUND(C552*$G552,0)</f>
        <v>554</v>
      </c>
      <c r="J552" s="408"/>
      <c r="K552" s="421">
        <f>ROUND(E552*$G552,0)</f>
        <v>533</v>
      </c>
      <c r="L552" s="105"/>
      <c r="M552" s="41">
        <f>ROUND(G552*(1+$V$495),2)</f>
        <v>8.0299999999999994</v>
      </c>
      <c r="N552" s="149"/>
      <c r="O552" s="206">
        <f>ROUND(E552*M552,0)</f>
        <v>538</v>
      </c>
      <c r="P552" s="105"/>
      <c r="Q552" s="83">
        <f t="shared" ref="Q552:Q554" si="206">$W$275</f>
        <v>-6.4000000000000003E-3</v>
      </c>
      <c r="R552" s="149"/>
      <c r="S552" s="206">
        <f t="shared" ref="S552:S554" si="207">O552*Q552*254/365</f>
        <v>-2.3960898630136986</v>
      </c>
      <c r="U552" s="207"/>
      <c r="V552" s="207"/>
      <c r="W552" s="207"/>
      <c r="X552" s="45">
        <f t="shared" ref="X552:X554" si="208">M552/G552-1</f>
        <v>1.0062893081761004E-2</v>
      </c>
    </row>
    <row r="553" spans="1:24" s="203" customFormat="1">
      <c r="A553" s="40" t="s">
        <v>104</v>
      </c>
      <c r="B553" s="15"/>
      <c r="C553" s="407">
        <v>20.999956832969598</v>
      </c>
      <c r="D553" s="408"/>
      <c r="E553" s="407">
        <f>ROUND(C553*$E$570/$C$570,0)</f>
        <v>20</v>
      </c>
      <c r="F553" s="408"/>
      <c r="G553" s="237">
        <v>15.14</v>
      </c>
      <c r="H553" s="420"/>
      <c r="I553" s="421">
        <f>ROUND(C553*$G553,0)</f>
        <v>318</v>
      </c>
      <c r="J553" s="408"/>
      <c r="K553" s="421">
        <f>ROUND(E553*$G553,0)</f>
        <v>303</v>
      </c>
      <c r="L553" s="105"/>
      <c r="M553" s="41">
        <f>ROUND(G553*(1+$V$495),2)</f>
        <v>15.3</v>
      </c>
      <c r="N553" s="149"/>
      <c r="O553" s="206">
        <f>ROUND(E553*M553,0)</f>
        <v>306</v>
      </c>
      <c r="P553" s="105"/>
      <c r="Q553" s="83">
        <f t="shared" si="206"/>
        <v>-6.4000000000000003E-3</v>
      </c>
      <c r="R553" s="149"/>
      <c r="S553" s="206">
        <f t="shared" si="207"/>
        <v>-1.3628317808219179</v>
      </c>
      <c r="U553" s="207"/>
      <c r="V553" s="207"/>
      <c r="W553" s="207"/>
      <c r="X553" s="45">
        <f t="shared" si="208"/>
        <v>1.0568031704095038E-2</v>
      </c>
    </row>
    <row r="554" spans="1:24" s="203" customFormat="1">
      <c r="A554" s="40" t="s">
        <v>238</v>
      </c>
      <c r="B554" s="15"/>
      <c r="C554" s="422">
        <v>96</v>
      </c>
      <c r="D554" s="408"/>
      <c r="E554" s="407">
        <f>ROUND(C554*$E$570/$C$570,0)</f>
        <v>92</v>
      </c>
      <c r="F554" s="408"/>
      <c r="G554" s="420">
        <v>32.14</v>
      </c>
      <c r="H554" s="420"/>
      <c r="I554" s="421">
        <f>ROUND(C554*$G554,0)</f>
        <v>3085</v>
      </c>
      <c r="J554" s="408"/>
      <c r="K554" s="421">
        <f>ROUND(E554*$G554,0)</f>
        <v>2957</v>
      </c>
      <c r="L554" s="105"/>
      <c r="M554" s="149">
        <f>ROUND(G554*(1+$V$495),2)</f>
        <v>32.479999999999997</v>
      </c>
      <c r="N554" s="149"/>
      <c r="O554" s="204">
        <f>ROUND(E554*M554,0)</f>
        <v>2988</v>
      </c>
      <c r="P554" s="105"/>
      <c r="Q554" s="205">
        <f t="shared" si="206"/>
        <v>-6.4000000000000003E-3</v>
      </c>
      <c r="R554" s="149"/>
      <c r="S554" s="204">
        <f t="shared" si="207"/>
        <v>-13.307651506849316</v>
      </c>
      <c r="U554" s="207"/>
      <c r="V554" s="207"/>
      <c r="W554" s="207"/>
      <c r="X554" s="45">
        <f t="shared" si="208"/>
        <v>1.0578718108276153E-2</v>
      </c>
    </row>
    <row r="555" spans="1:24" s="203" customFormat="1" ht="14.25" customHeight="1">
      <c r="A555" s="158" t="s">
        <v>176</v>
      </c>
      <c r="B555" s="15"/>
      <c r="C555" s="407"/>
      <c r="D555" s="408"/>
      <c r="E555" s="407"/>
      <c r="F555" s="408"/>
      <c r="G555" s="445"/>
      <c r="H555" s="426"/>
      <c r="I555" s="421"/>
      <c r="J555" s="408"/>
      <c r="K555" s="421"/>
      <c r="L555" s="105"/>
      <c r="M555" s="78"/>
      <c r="N555" s="196"/>
      <c r="O555" s="206"/>
      <c r="P555" s="105"/>
      <c r="Q555" s="80"/>
      <c r="R555" s="196"/>
      <c r="S555" s="206"/>
      <c r="U555" s="207"/>
      <c r="V555" s="207"/>
      <c r="W555" s="207"/>
    </row>
    <row r="556" spans="1:24" s="203" customFormat="1">
      <c r="A556" s="40" t="s">
        <v>222</v>
      </c>
      <c r="B556" s="15"/>
      <c r="C556" s="407">
        <v>19022.0115687297</v>
      </c>
      <c r="D556" s="408"/>
      <c r="E556" s="407">
        <f t="shared" ref="E556:E564" si="209">ROUND(C556*$E$570/$C$570,0)</f>
        <v>18312</v>
      </c>
      <c r="F556" s="408"/>
      <c r="G556" s="237">
        <v>4.63</v>
      </c>
      <c r="H556" s="420"/>
      <c r="I556" s="421">
        <f t="shared" ref="I556:I564" si="210">ROUND(C556*$G556,0)</f>
        <v>88072</v>
      </c>
      <c r="J556" s="408"/>
      <c r="K556" s="421">
        <f t="shared" ref="K556:K564" si="211">ROUND(E556*$G556,0)</f>
        <v>84785</v>
      </c>
      <c r="L556" s="105"/>
      <c r="M556" s="41">
        <f t="shared" ref="M556:M564" si="212">ROUND(G556*(1+$V$495),2)</f>
        <v>4.68</v>
      </c>
      <c r="N556" s="149"/>
      <c r="O556" s="206">
        <f t="shared" ref="O556:O564" si="213">ROUND(E556*M556,0)</f>
        <v>85700</v>
      </c>
      <c r="P556" s="105"/>
      <c r="Q556" s="83">
        <f t="shared" ref="Q556:Q564" si="214">$W$275</f>
        <v>-6.4000000000000003E-3</v>
      </c>
      <c r="R556" s="149"/>
      <c r="S556" s="206">
        <f t="shared" ref="S556:S564" si="215">O556*Q556*254/365</f>
        <v>-381.68197260273973</v>
      </c>
      <c r="U556" s="207"/>
      <c r="V556" s="207"/>
      <c r="W556" s="207"/>
      <c r="X556" s="45">
        <f t="shared" ref="X556:X564" si="216">M556/G556-1</f>
        <v>1.0799136069114423E-2</v>
      </c>
    </row>
    <row r="557" spans="1:24" s="203" customFormat="1">
      <c r="A557" s="40" t="s">
        <v>223</v>
      </c>
      <c r="B557" s="15"/>
      <c r="C557" s="407">
        <v>21846.946479558301</v>
      </c>
      <c r="D557" s="408"/>
      <c r="E557" s="407">
        <f t="shared" si="209"/>
        <v>21031</v>
      </c>
      <c r="F557" s="408"/>
      <c r="G557" s="237">
        <v>6.1</v>
      </c>
      <c r="H557" s="420"/>
      <c r="I557" s="421">
        <f t="shared" si="210"/>
        <v>133266</v>
      </c>
      <c r="J557" s="408"/>
      <c r="K557" s="421">
        <f t="shared" si="211"/>
        <v>128289</v>
      </c>
      <c r="L557" s="105"/>
      <c r="M557" s="41">
        <f t="shared" si="212"/>
        <v>6.16</v>
      </c>
      <c r="N557" s="149"/>
      <c r="O557" s="206">
        <f t="shared" si="213"/>
        <v>129551</v>
      </c>
      <c r="P557" s="105"/>
      <c r="Q557" s="83">
        <f t="shared" si="214"/>
        <v>-6.4000000000000003E-3</v>
      </c>
      <c r="R557" s="149"/>
      <c r="S557" s="206">
        <f t="shared" si="215"/>
        <v>-576.98111123287674</v>
      </c>
      <c r="U557" s="207"/>
      <c r="V557" s="207"/>
      <c r="W557" s="207"/>
      <c r="X557" s="45">
        <f t="shared" si="216"/>
        <v>9.8360655737705915E-3</v>
      </c>
    </row>
    <row r="558" spans="1:24" s="203" customFormat="1">
      <c r="A558" s="40" t="s">
        <v>258</v>
      </c>
      <c r="B558" s="15"/>
      <c r="C558" s="407">
        <v>0</v>
      </c>
      <c r="D558" s="408"/>
      <c r="E558" s="407">
        <f t="shared" si="209"/>
        <v>0</v>
      </c>
      <c r="F558" s="408"/>
      <c r="G558" s="237">
        <v>5.49</v>
      </c>
      <c r="H558" s="420"/>
      <c r="I558" s="421">
        <f t="shared" si="210"/>
        <v>0</v>
      </c>
      <c r="J558" s="408"/>
      <c r="K558" s="421">
        <f t="shared" si="211"/>
        <v>0</v>
      </c>
      <c r="L558" s="105"/>
      <c r="M558" s="41">
        <f t="shared" si="212"/>
        <v>5.55</v>
      </c>
      <c r="N558" s="149"/>
      <c r="O558" s="206">
        <f t="shared" si="213"/>
        <v>0</v>
      </c>
      <c r="P558" s="105"/>
      <c r="Q558" s="83">
        <f t="shared" si="214"/>
        <v>-6.4000000000000003E-3</v>
      </c>
      <c r="R558" s="149"/>
      <c r="S558" s="206">
        <f t="shared" si="215"/>
        <v>0</v>
      </c>
      <c r="U558" s="207"/>
      <c r="V558" s="207"/>
      <c r="W558" s="207"/>
      <c r="X558" s="45">
        <f t="shared" si="216"/>
        <v>1.0928961748633892E-2</v>
      </c>
    </row>
    <row r="559" spans="1:24" s="203" customFormat="1">
      <c r="A559" s="40" t="s">
        <v>224</v>
      </c>
      <c r="B559" s="15"/>
      <c r="C559" s="407">
        <v>5604.8885894802397</v>
      </c>
      <c r="D559" s="408"/>
      <c r="E559" s="407">
        <f t="shared" si="209"/>
        <v>5396</v>
      </c>
      <c r="F559" s="408"/>
      <c r="G559" s="237">
        <v>7.39</v>
      </c>
      <c r="H559" s="420"/>
      <c r="I559" s="421">
        <f t="shared" si="210"/>
        <v>41420</v>
      </c>
      <c r="J559" s="408"/>
      <c r="K559" s="421">
        <f t="shared" si="211"/>
        <v>39876</v>
      </c>
      <c r="L559" s="105"/>
      <c r="M559" s="41">
        <f t="shared" si="212"/>
        <v>7.47</v>
      </c>
      <c r="N559" s="149"/>
      <c r="O559" s="206">
        <f t="shared" si="213"/>
        <v>40308</v>
      </c>
      <c r="P559" s="105"/>
      <c r="Q559" s="83">
        <f t="shared" si="214"/>
        <v>-6.4000000000000003E-3</v>
      </c>
      <c r="R559" s="149"/>
      <c r="S559" s="206">
        <f t="shared" si="215"/>
        <v>-179.51968438356164</v>
      </c>
      <c r="U559" s="207"/>
      <c r="V559" s="207"/>
      <c r="W559" s="207"/>
      <c r="X559" s="45">
        <f t="shared" si="216"/>
        <v>1.0825439783491264E-2</v>
      </c>
    </row>
    <row r="560" spans="1:24" s="203" customFormat="1">
      <c r="A560" s="40" t="s">
        <v>259</v>
      </c>
      <c r="B560" s="15"/>
      <c r="C560" s="407">
        <v>0</v>
      </c>
      <c r="D560" s="408"/>
      <c r="E560" s="407">
        <f t="shared" si="209"/>
        <v>0</v>
      </c>
      <c r="F560" s="408"/>
      <c r="G560" s="237">
        <v>6.65</v>
      </c>
      <c r="H560" s="420"/>
      <c r="I560" s="421">
        <f t="shared" si="210"/>
        <v>0</v>
      </c>
      <c r="J560" s="408"/>
      <c r="K560" s="421">
        <f t="shared" si="211"/>
        <v>0</v>
      </c>
      <c r="L560" s="105"/>
      <c r="M560" s="41">
        <f t="shared" si="212"/>
        <v>6.72</v>
      </c>
      <c r="N560" s="149"/>
      <c r="O560" s="206">
        <f t="shared" si="213"/>
        <v>0</v>
      </c>
      <c r="P560" s="105"/>
      <c r="Q560" s="83">
        <f t="shared" si="214"/>
        <v>-6.4000000000000003E-3</v>
      </c>
      <c r="R560" s="149"/>
      <c r="S560" s="206">
        <f t="shared" si="215"/>
        <v>0</v>
      </c>
      <c r="U560" s="207"/>
      <c r="V560" s="207"/>
      <c r="W560" s="207"/>
      <c r="X560" s="45">
        <f t="shared" si="216"/>
        <v>1.0526315789473495E-2</v>
      </c>
    </row>
    <row r="561" spans="1:24" s="203" customFormat="1">
      <c r="A561" s="40" t="s">
        <v>112</v>
      </c>
      <c r="B561" s="15"/>
      <c r="C561" s="407">
        <v>8.1670235546038494</v>
      </c>
      <c r="D561" s="408"/>
      <c r="E561" s="407">
        <f t="shared" si="209"/>
        <v>8</v>
      </c>
      <c r="F561" s="408"/>
      <c r="G561" s="237">
        <v>9.34</v>
      </c>
      <c r="H561" s="420"/>
      <c r="I561" s="421">
        <f t="shared" si="210"/>
        <v>76</v>
      </c>
      <c r="J561" s="408"/>
      <c r="K561" s="421">
        <f t="shared" si="211"/>
        <v>75</v>
      </c>
      <c r="L561" s="105"/>
      <c r="M561" s="41">
        <f t="shared" si="212"/>
        <v>9.44</v>
      </c>
      <c r="N561" s="149"/>
      <c r="O561" s="206">
        <f t="shared" si="213"/>
        <v>76</v>
      </c>
      <c r="P561" s="105"/>
      <c r="Q561" s="83">
        <f t="shared" si="214"/>
        <v>-6.4000000000000003E-3</v>
      </c>
      <c r="R561" s="149"/>
      <c r="S561" s="206">
        <f t="shared" si="215"/>
        <v>-0.33848109589041092</v>
      </c>
      <c r="U561" s="207"/>
      <c r="V561" s="207"/>
      <c r="W561" s="207"/>
      <c r="X561" s="45">
        <f t="shared" si="216"/>
        <v>1.070663811563155E-2</v>
      </c>
    </row>
    <row r="562" spans="1:24" s="203" customFormat="1">
      <c r="A562" s="40" t="s">
        <v>225</v>
      </c>
      <c r="B562" s="15"/>
      <c r="C562" s="407">
        <v>4117.4329735926603</v>
      </c>
      <c r="D562" s="408"/>
      <c r="E562" s="407">
        <f t="shared" si="209"/>
        <v>3964</v>
      </c>
      <c r="F562" s="408"/>
      <c r="G562" s="237">
        <v>10.88</v>
      </c>
      <c r="H562" s="420"/>
      <c r="I562" s="421">
        <f t="shared" si="210"/>
        <v>44798</v>
      </c>
      <c r="J562" s="408"/>
      <c r="K562" s="421">
        <f t="shared" si="211"/>
        <v>43128</v>
      </c>
      <c r="L562" s="105"/>
      <c r="M562" s="41">
        <f t="shared" si="212"/>
        <v>10.99</v>
      </c>
      <c r="N562" s="149"/>
      <c r="O562" s="206">
        <f t="shared" si="213"/>
        <v>43564</v>
      </c>
      <c r="P562" s="105"/>
      <c r="Q562" s="83">
        <f t="shared" si="214"/>
        <v>-6.4000000000000003E-3</v>
      </c>
      <c r="R562" s="149"/>
      <c r="S562" s="206">
        <f t="shared" si="215"/>
        <v>-194.02092712328766</v>
      </c>
      <c r="U562" s="207"/>
      <c r="V562" s="207"/>
      <c r="W562" s="207"/>
      <c r="X562" s="45">
        <f t="shared" si="216"/>
        <v>1.0110294117646967E-2</v>
      </c>
    </row>
    <row r="563" spans="1:24" s="203" customFormat="1">
      <c r="A563" s="40" t="s">
        <v>226</v>
      </c>
      <c r="B563" s="15"/>
      <c r="C563" s="407">
        <v>3588.1518069993399</v>
      </c>
      <c r="D563" s="408"/>
      <c r="E563" s="407">
        <f t="shared" si="209"/>
        <v>3454</v>
      </c>
      <c r="F563" s="408"/>
      <c r="G563" s="237">
        <v>15.85</v>
      </c>
      <c r="H563" s="420"/>
      <c r="I563" s="421">
        <f t="shared" si="210"/>
        <v>56872</v>
      </c>
      <c r="J563" s="408"/>
      <c r="K563" s="421">
        <f t="shared" si="211"/>
        <v>54746</v>
      </c>
      <c r="L563" s="105"/>
      <c r="M563" s="41">
        <f t="shared" si="212"/>
        <v>16.02</v>
      </c>
      <c r="N563" s="149"/>
      <c r="O563" s="206">
        <f t="shared" si="213"/>
        <v>55333</v>
      </c>
      <c r="P563" s="105"/>
      <c r="Q563" s="83">
        <f t="shared" si="214"/>
        <v>-6.4000000000000003E-3</v>
      </c>
      <c r="R563" s="149"/>
      <c r="S563" s="206">
        <f t="shared" si="215"/>
        <v>-246.43650630136986</v>
      </c>
      <c r="U563" s="207"/>
      <c r="V563" s="207"/>
      <c r="W563" s="207"/>
      <c r="X563" s="45">
        <f t="shared" si="216"/>
        <v>1.0725552050473208E-2</v>
      </c>
    </row>
    <row r="564" spans="1:24" s="203" customFormat="1">
      <c r="A564" s="40" t="s">
        <v>260</v>
      </c>
      <c r="B564" s="15"/>
      <c r="C564" s="407">
        <v>0</v>
      </c>
      <c r="D564" s="408"/>
      <c r="E564" s="407">
        <f t="shared" si="209"/>
        <v>0</v>
      </c>
      <c r="F564" s="408"/>
      <c r="G564" s="420">
        <v>14.27</v>
      </c>
      <c r="H564" s="426"/>
      <c r="I564" s="421">
        <f t="shared" si="210"/>
        <v>0</v>
      </c>
      <c r="J564" s="408"/>
      <c r="K564" s="421">
        <f t="shared" si="211"/>
        <v>0</v>
      </c>
      <c r="L564" s="105"/>
      <c r="M564" s="149">
        <f t="shared" si="212"/>
        <v>14.42</v>
      </c>
      <c r="N564" s="196"/>
      <c r="O564" s="204">
        <f t="shared" si="213"/>
        <v>0</v>
      </c>
      <c r="P564" s="105"/>
      <c r="Q564" s="205">
        <f t="shared" si="214"/>
        <v>-6.4000000000000003E-3</v>
      </c>
      <c r="R564" s="196"/>
      <c r="S564" s="204">
        <f t="shared" si="215"/>
        <v>0</v>
      </c>
      <c r="U564" s="207"/>
      <c r="V564" s="207"/>
      <c r="W564" s="207"/>
      <c r="X564" s="45">
        <f t="shared" si="216"/>
        <v>1.0511562718990897E-2</v>
      </c>
    </row>
    <row r="565" spans="1:24" s="203" customFormat="1">
      <c r="A565" s="158" t="s">
        <v>192</v>
      </c>
      <c r="B565" s="15"/>
      <c r="C565" s="407"/>
      <c r="D565" s="408"/>
      <c r="E565" s="407"/>
      <c r="F565" s="408"/>
      <c r="G565" s="409"/>
      <c r="H565" s="408"/>
      <c r="I565" s="409"/>
      <c r="J565" s="408"/>
      <c r="K565" s="409"/>
      <c r="L565" s="105"/>
      <c r="M565" s="15"/>
      <c r="N565" s="105"/>
      <c r="O565" s="15"/>
      <c r="P565" s="105"/>
      <c r="Q565" s="141"/>
      <c r="R565" s="105"/>
      <c r="S565" s="202"/>
      <c r="U565" s="207"/>
      <c r="V565" s="207"/>
      <c r="W565" s="207"/>
    </row>
    <row r="566" spans="1:24" s="203" customFormat="1">
      <c r="A566" s="40" t="s">
        <v>228</v>
      </c>
      <c r="B566" s="15"/>
      <c r="C566" s="407">
        <v>1298.33345417341</v>
      </c>
      <c r="D566" s="408"/>
      <c r="E566" s="407">
        <f>ROUND(C566*$E$570/$C$570,0)</f>
        <v>1250</v>
      </c>
      <c r="F566" s="408"/>
      <c r="G566" s="237">
        <v>15.42</v>
      </c>
      <c r="H566" s="420"/>
      <c r="I566" s="421">
        <f>ROUND(C566*$G566,0)</f>
        <v>20020</v>
      </c>
      <c r="J566" s="408"/>
      <c r="K566" s="421">
        <f>ROUND(E566*$G566,0)</f>
        <v>19275</v>
      </c>
      <c r="L566" s="105"/>
      <c r="M566" s="41">
        <f>ROUND(G566*(1+$V$495),2)</f>
        <v>15.58</v>
      </c>
      <c r="N566" s="149"/>
      <c r="O566" s="206">
        <f>ROUND(E566*M566,0)</f>
        <v>19475</v>
      </c>
      <c r="P566" s="105"/>
      <c r="Q566" s="83">
        <f t="shared" ref="Q566:Q569" si="217">$W$275</f>
        <v>-6.4000000000000003E-3</v>
      </c>
      <c r="R566" s="149"/>
      <c r="S566" s="206">
        <f t="shared" ref="S566:S569" si="218">O566*Q566*254/365</f>
        <v>-86.735780821917814</v>
      </c>
      <c r="U566" s="207"/>
      <c r="V566" s="207"/>
      <c r="W566" s="207"/>
      <c r="X566" s="45">
        <f t="shared" ref="X566:X569" si="219">M566/G566-1</f>
        <v>1.037613488975353E-2</v>
      </c>
    </row>
    <row r="567" spans="1:24" s="203" customFormat="1">
      <c r="A567" s="40" t="s">
        <v>229</v>
      </c>
      <c r="B567" s="15"/>
      <c r="C567" s="407">
        <v>459.07822894071802</v>
      </c>
      <c r="D567" s="408"/>
      <c r="E567" s="407">
        <f>ROUND(C567*$E$570/$C$570,0)</f>
        <v>442</v>
      </c>
      <c r="F567" s="408"/>
      <c r="G567" s="237">
        <v>15.57</v>
      </c>
      <c r="H567" s="420"/>
      <c r="I567" s="421">
        <f>ROUND(C567*$G567,0)</f>
        <v>7148</v>
      </c>
      <c r="J567" s="408"/>
      <c r="K567" s="421">
        <f>ROUND(E567*$G567,0)</f>
        <v>6882</v>
      </c>
      <c r="L567" s="105"/>
      <c r="M567" s="41">
        <f>ROUND(G567*(1+$V$495),2)</f>
        <v>15.73</v>
      </c>
      <c r="N567" s="149"/>
      <c r="O567" s="206">
        <f>ROUND(E567*M567,0)</f>
        <v>6953</v>
      </c>
      <c r="P567" s="105"/>
      <c r="Q567" s="83">
        <f t="shared" si="217"/>
        <v>-6.4000000000000003E-3</v>
      </c>
      <c r="R567" s="149"/>
      <c r="S567" s="206">
        <f t="shared" si="218"/>
        <v>-30.966566575342465</v>
      </c>
      <c r="U567" s="207"/>
      <c r="V567" s="207"/>
      <c r="W567" s="207"/>
      <c r="X567" s="45">
        <f t="shared" si="219"/>
        <v>1.0276172125883054E-2</v>
      </c>
    </row>
    <row r="568" spans="1:24" s="203" customFormat="1">
      <c r="A568" s="40" t="s">
        <v>230</v>
      </c>
      <c r="B568" s="15"/>
      <c r="C568" s="407">
        <v>1347.74259818731</v>
      </c>
      <c r="D568" s="408"/>
      <c r="E568" s="407">
        <f>ROUND(C568*$E$570/$C$570,0)</f>
        <v>1297</v>
      </c>
      <c r="F568" s="408"/>
      <c r="G568" s="237">
        <v>16.55</v>
      </c>
      <c r="H568" s="420"/>
      <c r="I568" s="421">
        <f>ROUND(C568*$G568,0)</f>
        <v>22305</v>
      </c>
      <c r="J568" s="408"/>
      <c r="K568" s="421">
        <f>ROUND(E568*$G568,0)</f>
        <v>21465</v>
      </c>
      <c r="L568" s="105"/>
      <c r="M568" s="41">
        <f>ROUND(G568*(1+$V$495),2)</f>
        <v>16.72</v>
      </c>
      <c r="N568" s="149"/>
      <c r="O568" s="206">
        <f>ROUND(E568*M568,0)</f>
        <v>21686</v>
      </c>
      <c r="P568" s="105"/>
      <c r="Q568" s="83">
        <f t="shared" si="217"/>
        <v>-6.4000000000000003E-3</v>
      </c>
      <c r="R568" s="149"/>
      <c r="S568" s="206">
        <f t="shared" si="218"/>
        <v>-96.582908493150683</v>
      </c>
      <c r="U568" s="207"/>
      <c r="V568" s="207"/>
      <c r="W568" s="207"/>
      <c r="X568" s="45">
        <f t="shared" si="219"/>
        <v>1.0271903323262777E-2</v>
      </c>
    </row>
    <row r="569" spans="1:24" s="203" customFormat="1">
      <c r="A569" s="40" t="s">
        <v>261</v>
      </c>
      <c r="B569" s="15"/>
      <c r="C569" s="428">
        <v>96</v>
      </c>
      <c r="D569" s="408"/>
      <c r="E569" s="407">
        <f>ROUND(C569*$E$570/$C$570,0)</f>
        <v>92</v>
      </c>
      <c r="F569" s="408"/>
      <c r="G569" s="465">
        <v>32.700000000000003</v>
      </c>
      <c r="H569" s="420"/>
      <c r="I569" s="450">
        <f>ROUND(C569*$G569,0)</f>
        <v>3139</v>
      </c>
      <c r="J569" s="408"/>
      <c r="K569" s="450">
        <f>ROUND(E569*$G569,0)</f>
        <v>3008</v>
      </c>
      <c r="L569" s="105"/>
      <c r="M569" s="224">
        <f>ROUND(G569*(1+$V$495),2)</f>
        <v>33.049999999999997</v>
      </c>
      <c r="N569" s="149"/>
      <c r="O569" s="209">
        <f>ROUND(E569*M569,0)</f>
        <v>3041</v>
      </c>
      <c r="P569" s="105"/>
      <c r="Q569" s="225">
        <f t="shared" si="217"/>
        <v>-6.4000000000000003E-3</v>
      </c>
      <c r="R569" s="149"/>
      <c r="S569" s="209">
        <f t="shared" si="218"/>
        <v>-13.543697534246578</v>
      </c>
      <c r="U569" s="207"/>
      <c r="V569" s="207"/>
      <c r="W569" s="207"/>
      <c r="X569" s="45">
        <f t="shared" si="219"/>
        <v>1.0703363914372988E-2</v>
      </c>
    </row>
    <row r="570" spans="1:24" s="203" customFormat="1">
      <c r="A570" s="158" t="s">
        <v>232</v>
      </c>
      <c r="B570" s="15"/>
      <c r="C570" s="422">
        <v>3056644.5301880618</v>
      </c>
      <c r="D570" s="408"/>
      <c r="E570" s="422">
        <f>ROUND(C570*$E$574/$C$574,0)</f>
        <v>2942508</v>
      </c>
      <c r="F570" s="408"/>
      <c r="G570" s="420"/>
      <c r="H570" s="424"/>
      <c r="I570" s="427">
        <f>SUM(I549:I569)</f>
        <v>422476</v>
      </c>
      <c r="J570" s="408"/>
      <c r="K570" s="427">
        <f>SUM(K549:K569)</f>
        <v>406687</v>
      </c>
      <c r="L570" s="105"/>
      <c r="M570" s="220"/>
      <c r="N570" s="149"/>
      <c r="O570" s="204">
        <f>SUM(O549:O569)</f>
        <v>410899</v>
      </c>
      <c r="P570" s="105"/>
      <c r="Q570" s="221"/>
      <c r="R570" s="149"/>
      <c r="S570" s="204">
        <f>SUM(S549:S569)</f>
        <v>-1830.0203134246576</v>
      </c>
      <c r="U570" s="207"/>
      <c r="V570" s="207"/>
      <c r="W570" s="207"/>
    </row>
    <row r="571" spans="1:24" s="203" customFormat="1">
      <c r="A571" s="158" t="s">
        <v>129</v>
      </c>
      <c r="B571" s="15"/>
      <c r="C571" s="422">
        <v>32864</v>
      </c>
      <c r="D571" s="408"/>
      <c r="E571" s="422"/>
      <c r="F571" s="408"/>
      <c r="G571" s="420"/>
      <c r="H571" s="424"/>
      <c r="I571" s="427">
        <v>3176</v>
      </c>
      <c r="J571" s="408"/>
      <c r="K571" s="427"/>
      <c r="L571" s="105"/>
      <c r="M571" s="220"/>
      <c r="N571" s="149"/>
      <c r="O571" s="204"/>
      <c r="P571" s="105"/>
      <c r="Q571" s="221"/>
      <c r="R571" s="149"/>
      <c r="S571" s="204"/>
      <c r="U571" s="207"/>
      <c r="V571" s="207"/>
      <c r="W571" s="207"/>
    </row>
    <row r="572" spans="1:24" s="203" customFormat="1">
      <c r="A572" s="158" t="s">
        <v>218</v>
      </c>
      <c r="B572" s="15"/>
      <c r="C572" s="422">
        <f>SUM(C570:C571)</f>
        <v>3089508.5301880618</v>
      </c>
      <c r="D572" s="408"/>
      <c r="E572" s="422"/>
      <c r="F572" s="408"/>
      <c r="G572" s="420"/>
      <c r="H572" s="424"/>
      <c r="I572" s="427">
        <f>SUM(I570:I571)</f>
        <v>425652</v>
      </c>
      <c r="J572" s="408"/>
      <c r="K572" s="427">
        <f>SUM(K570:K571)</f>
        <v>406687</v>
      </c>
      <c r="L572" s="105"/>
      <c r="M572" s="220"/>
      <c r="N572" s="149"/>
      <c r="O572" s="204">
        <f>SUM(O570:O571)</f>
        <v>410899</v>
      </c>
      <c r="P572" s="105"/>
      <c r="Q572" s="221"/>
      <c r="R572" s="149"/>
      <c r="S572" s="204">
        <f>SUM(S570:S571)</f>
        <v>-1830.0203134246576</v>
      </c>
      <c r="U572" s="207"/>
      <c r="V572" s="207"/>
      <c r="W572" s="207"/>
    </row>
    <row r="573" spans="1:24" s="203" customFormat="1">
      <c r="A573" s="40"/>
      <c r="B573" s="15"/>
      <c r="C573" s="428"/>
      <c r="D573" s="408"/>
      <c r="E573" s="428"/>
      <c r="F573" s="408"/>
      <c r="G573" s="420"/>
      <c r="H573" s="420"/>
      <c r="I573" s="427"/>
      <c r="J573" s="408"/>
      <c r="K573" s="427"/>
      <c r="L573" s="105"/>
      <c r="M573" s="149"/>
      <c r="N573" s="149"/>
      <c r="O573" s="209"/>
      <c r="P573" s="105"/>
      <c r="Q573" s="205"/>
      <c r="R573" s="149"/>
      <c r="S573" s="209"/>
      <c r="U573" s="207"/>
      <c r="V573" s="207"/>
      <c r="W573" s="207"/>
    </row>
    <row r="574" spans="1:24" s="203" customFormat="1">
      <c r="A574" s="40" t="s">
        <v>262</v>
      </c>
      <c r="B574" s="15"/>
      <c r="C574" s="461">
        <f>C502+C544+C570</f>
        <v>51334345.41439949</v>
      </c>
      <c r="D574" s="408"/>
      <c r="E574" s="461">
        <v>49417500</v>
      </c>
      <c r="F574" s="408"/>
      <c r="G574" s="459"/>
      <c r="H574" s="408"/>
      <c r="I574" s="429">
        <f>I502+I544+I570</f>
        <v>3919690</v>
      </c>
      <c r="J574" s="408"/>
      <c r="K574" s="429">
        <f>K502+K544+K570</f>
        <v>3773340</v>
      </c>
      <c r="L574" s="105"/>
      <c r="M574" s="193"/>
      <c r="N574" s="105"/>
      <c r="O574" s="209">
        <f>O502+O544+O570</f>
        <v>3813444</v>
      </c>
      <c r="P574" s="105"/>
      <c r="Q574" s="194"/>
      <c r="R574" s="105"/>
      <c r="S574" s="209">
        <f>S502+S544+S570</f>
        <v>-16983.930318904113</v>
      </c>
      <c r="T574" s="211"/>
      <c r="U574" s="207"/>
      <c r="V574" s="207"/>
      <c r="W574" s="207"/>
    </row>
    <row r="575" spans="1:24" s="203" customFormat="1">
      <c r="A575" s="40" t="s">
        <v>131</v>
      </c>
      <c r="B575" s="15"/>
      <c r="C575" s="419">
        <v>836.83333333333303</v>
      </c>
      <c r="D575" s="408"/>
      <c r="E575" s="407">
        <v>838.16666666666663</v>
      </c>
      <c r="F575" s="408"/>
      <c r="G575" s="409"/>
      <c r="H575" s="408"/>
      <c r="I575" s="409"/>
      <c r="J575" s="408"/>
      <c r="K575" s="409"/>
      <c r="L575" s="105"/>
      <c r="M575" s="15"/>
      <c r="N575" s="105"/>
      <c r="O575" s="15"/>
      <c r="P575" s="105"/>
      <c r="Q575" s="141"/>
      <c r="R575" s="105"/>
      <c r="S575" s="202"/>
      <c r="T575" s="211"/>
      <c r="U575" s="207"/>
      <c r="V575" s="207"/>
      <c r="W575" s="207"/>
    </row>
    <row r="576" spans="1:24" s="203" customFormat="1">
      <c r="A576" s="40" t="s">
        <v>129</v>
      </c>
      <c r="B576" s="15"/>
      <c r="C576" s="461">
        <f>C503+C545+C571</f>
        <v>551932</v>
      </c>
      <c r="D576" s="408"/>
      <c r="E576" s="461"/>
      <c r="F576" s="408"/>
      <c r="G576" s="459"/>
      <c r="H576" s="408"/>
      <c r="I576" s="429">
        <f>I503+I545+I571</f>
        <v>29476</v>
      </c>
      <c r="J576" s="408"/>
      <c r="K576" s="429">
        <v>0</v>
      </c>
      <c r="L576" s="105"/>
      <c r="M576" s="193"/>
      <c r="N576" s="105"/>
      <c r="O576" s="209">
        <v>0</v>
      </c>
      <c r="P576" s="105"/>
      <c r="Q576" s="194"/>
      <c r="R576" s="105"/>
      <c r="S576" s="209"/>
      <c r="U576" s="207"/>
      <c r="V576" s="207"/>
      <c r="W576" s="207"/>
    </row>
    <row r="577" spans="1:24" s="203" customFormat="1" ht="16.5" thickBot="1">
      <c r="A577" s="40" t="s">
        <v>218</v>
      </c>
      <c r="B577" s="15"/>
      <c r="C577" s="460">
        <f>C576+C574</f>
        <v>51886277.41439949</v>
      </c>
      <c r="D577" s="408"/>
      <c r="E577" s="460">
        <v>49417500</v>
      </c>
      <c r="F577" s="408"/>
      <c r="G577" s="462"/>
      <c r="H577" s="463"/>
      <c r="I577" s="462">
        <f>I576+I574</f>
        <v>3949166</v>
      </c>
      <c r="J577" s="408"/>
      <c r="K577" s="462">
        <f>K576+K574</f>
        <v>3773340</v>
      </c>
      <c r="L577" s="105"/>
      <c r="M577" s="212"/>
      <c r="N577" s="213"/>
      <c r="O577" s="212">
        <f>O576+O574</f>
        <v>3813444</v>
      </c>
      <c r="P577" s="105"/>
      <c r="Q577" s="214"/>
      <c r="R577" s="213"/>
      <c r="S577" s="215">
        <f>S576+S574</f>
        <v>-16983.930318904113</v>
      </c>
      <c r="U577" s="216">
        <f>O577/K577-1</f>
        <v>1.0628249773410259E-2</v>
      </c>
      <c r="V577" s="207"/>
      <c r="W577" s="207"/>
    </row>
    <row r="578" spans="1:24" s="203" customFormat="1" ht="16.5" thickTop="1">
      <c r="A578" s="40" t="s">
        <v>45</v>
      </c>
      <c r="B578" s="15"/>
      <c r="C578" s="407"/>
      <c r="D578" s="408"/>
      <c r="E578" s="407"/>
      <c r="F578" s="408"/>
      <c r="G578" s="433"/>
      <c r="H578" s="434"/>
      <c r="I578" s="429">
        <v>39867.012899999994</v>
      </c>
      <c r="J578" s="408"/>
      <c r="K578" s="429">
        <f>I578</f>
        <v>39867.012899999994</v>
      </c>
      <c r="L578" s="17"/>
      <c r="M578" s="36"/>
      <c r="N578" s="99"/>
      <c r="O578" s="89">
        <v>0</v>
      </c>
      <c r="P578" s="17"/>
      <c r="Q578" s="36"/>
      <c r="R578" s="99"/>
      <c r="S578" s="89"/>
      <c r="T578" s="226"/>
      <c r="U578" s="207">
        <f>O577/E577*100</f>
        <v>7.7167885870390043</v>
      </c>
      <c r="V578" s="207"/>
      <c r="W578" s="207"/>
    </row>
    <row r="579" spans="1:24" s="203" customFormat="1">
      <c r="A579" s="40" t="s">
        <v>46</v>
      </c>
      <c r="B579" s="15"/>
      <c r="C579" s="407"/>
      <c r="D579" s="408"/>
      <c r="E579" s="407"/>
      <c r="F579" s="408"/>
      <c r="G579" s="433">
        <f>M579</f>
        <v>3.6999999999999998E-2</v>
      </c>
      <c r="H579" s="434"/>
      <c r="I579" s="429">
        <f>ROUND(SUM(I574,I578)*$G579,0)</f>
        <v>146504</v>
      </c>
      <c r="J579" s="408"/>
      <c r="K579" s="429">
        <f>ROUND(SUM(K574,K578)*$G579,0)</f>
        <v>141089</v>
      </c>
      <c r="L579" s="105"/>
      <c r="M579" s="136">
        <v>3.6999999999999998E-2</v>
      </c>
      <c r="N579" s="217"/>
      <c r="O579" s="209">
        <f>ROUND(SUM(O574,O578)*M579,0)</f>
        <v>141097</v>
      </c>
      <c r="P579" s="105"/>
      <c r="Q579" s="136"/>
      <c r="R579" s="217"/>
      <c r="S579" s="209"/>
      <c r="U579" s="207"/>
      <c r="V579" s="207"/>
      <c r="W579" s="207"/>
    </row>
    <row r="580" spans="1:24" s="203" customFormat="1">
      <c r="A580" s="40"/>
      <c r="B580" s="15"/>
      <c r="C580" s="466"/>
      <c r="D580" s="408"/>
      <c r="E580" s="466"/>
      <c r="F580" s="408"/>
      <c r="G580" s="408"/>
      <c r="H580" s="408"/>
      <c r="I580" s="427"/>
      <c r="J580" s="408"/>
      <c r="K580" s="427"/>
      <c r="L580" s="105"/>
      <c r="M580" s="105"/>
      <c r="N580" s="105"/>
      <c r="O580" s="204"/>
      <c r="P580" s="105"/>
      <c r="Q580" s="227"/>
      <c r="R580" s="105"/>
      <c r="S580" s="204"/>
      <c r="U580" s="207"/>
      <c r="V580" s="207"/>
      <c r="W580" s="207"/>
    </row>
    <row r="581" spans="1:24" s="203" customFormat="1">
      <c r="A581" s="223" t="s">
        <v>263</v>
      </c>
      <c r="B581" s="15"/>
      <c r="C581" s="407"/>
      <c r="D581" s="408"/>
      <c r="E581" s="407"/>
      <c r="F581" s="408"/>
      <c r="G581" s="409"/>
      <c r="H581" s="408"/>
      <c r="I581" s="409"/>
      <c r="J581" s="408"/>
      <c r="K581" s="409"/>
      <c r="L581" s="105"/>
      <c r="M581" s="15"/>
      <c r="N581" s="105"/>
      <c r="O581" s="15"/>
      <c r="P581" s="105"/>
      <c r="Q581" s="141"/>
      <c r="R581" s="105"/>
      <c r="S581" s="202"/>
      <c r="T581" s="206"/>
      <c r="U581" s="207"/>
      <c r="V581" s="207"/>
      <c r="W581" s="52" t="s">
        <v>4</v>
      </c>
    </row>
    <row r="582" spans="1:24" s="203" customFormat="1">
      <c r="A582" s="40" t="s">
        <v>264</v>
      </c>
      <c r="B582" s="15"/>
      <c r="C582" s="407">
        <v>19028.899208341507</v>
      </c>
      <c r="D582" s="408"/>
      <c r="E582" s="407">
        <f>ROUND(C582*E586/C586,0)</f>
        <v>22065</v>
      </c>
      <c r="F582" s="408"/>
      <c r="G582" s="237">
        <v>10.76</v>
      </c>
      <c r="H582" s="420"/>
      <c r="I582" s="421">
        <f>ROUND(C582*$G582,0)</f>
        <v>204751</v>
      </c>
      <c r="J582" s="408"/>
      <c r="K582" s="421">
        <f>ROUND(E582*$G582,0)</f>
        <v>237419</v>
      </c>
      <c r="L582" s="105"/>
      <c r="M582" s="41">
        <f>MROUND(G582*(1+$V$586),0.5)</f>
        <v>11</v>
      </c>
      <c r="N582" s="149"/>
      <c r="O582" s="206">
        <f>ROUND(E582*M582,0)</f>
        <v>242715</v>
      </c>
      <c r="P582" s="105"/>
      <c r="Q582" s="83"/>
      <c r="R582" s="149"/>
      <c r="S582" s="28"/>
      <c r="T582" s="206"/>
      <c r="U582" s="55" t="s">
        <v>20</v>
      </c>
      <c r="V582" s="56">
        <f>O588</f>
        <v>1218137</v>
      </c>
      <c r="W582" s="57">
        <f>S588</f>
        <v>-12380.012330958903</v>
      </c>
      <c r="X582" s="45">
        <f t="shared" ref="X582:X586" si="220">M582/G582-1</f>
        <v>2.2304832713754719E-2</v>
      </c>
    </row>
    <row r="583" spans="1:24" s="203" customFormat="1">
      <c r="A583" s="40" t="s">
        <v>265</v>
      </c>
      <c r="B583" s="15"/>
      <c r="C583" s="407">
        <v>387.40185750949968</v>
      </c>
      <c r="D583" s="408"/>
      <c r="E583" s="407">
        <f>ROUND(C583*E585/C585,0)</f>
        <v>450</v>
      </c>
      <c r="F583" s="408"/>
      <c r="G583" s="237">
        <v>71.400000000000006</v>
      </c>
      <c r="H583" s="420"/>
      <c r="I583" s="421">
        <f>ROUND(C583*$G583,0)</f>
        <v>27660</v>
      </c>
      <c r="J583" s="408"/>
      <c r="K583" s="421">
        <f>ROUND(E583*$G583,0)</f>
        <v>32130</v>
      </c>
      <c r="L583" s="105"/>
      <c r="M583" s="41">
        <f>MROUND(G583*(1+$V$586),0.5)</f>
        <v>72.5</v>
      </c>
      <c r="N583" s="149"/>
      <c r="O583" s="206">
        <f>ROUND(E583*M583,0)</f>
        <v>32625</v>
      </c>
      <c r="P583" s="105"/>
      <c r="Q583" s="83"/>
      <c r="R583" s="149"/>
      <c r="S583" s="28"/>
      <c r="T583" s="206"/>
      <c r="U583" s="60" t="s">
        <v>22</v>
      </c>
      <c r="V583" s="57">
        <f>(Stipulation!C13+Stipulation!E13)*1000</f>
        <v>1218132.72</v>
      </c>
      <c r="W583" s="57">
        <f>Stipulation!H13*1000</f>
        <v>-12403.264377858857</v>
      </c>
      <c r="X583" s="45">
        <f t="shared" si="220"/>
        <v>1.540616246498594E-2</v>
      </c>
    </row>
    <row r="584" spans="1:24" s="203" customFormat="1">
      <c r="A584" s="40" t="s">
        <v>266</v>
      </c>
      <c r="B584" s="15"/>
      <c r="C584" s="467">
        <v>0</v>
      </c>
      <c r="D584" s="408"/>
      <c r="E584" s="407">
        <f>ROUND(C584*E585/C585,0)</f>
        <v>0</v>
      </c>
      <c r="F584" s="408"/>
      <c r="G584" s="237">
        <v>125.2</v>
      </c>
      <c r="H584" s="420"/>
      <c r="I584" s="421">
        <f>ROUND(C584*$G584,0)</f>
        <v>0</v>
      </c>
      <c r="J584" s="408"/>
      <c r="K584" s="421">
        <f>ROUND(E584*$G584,0)</f>
        <v>0</v>
      </c>
      <c r="L584" s="105"/>
      <c r="M584" s="41">
        <f>M582*5+M583</f>
        <v>127.5</v>
      </c>
      <c r="N584" s="149"/>
      <c r="O584" s="206">
        <f>ROUND(E584*M584,0)</f>
        <v>0</v>
      </c>
      <c r="P584" s="105"/>
      <c r="Q584" s="83"/>
      <c r="R584" s="149"/>
      <c r="S584" s="28"/>
      <c r="U584" s="64" t="s">
        <v>24</v>
      </c>
      <c r="V584" s="65">
        <f>V583-V582</f>
        <v>-4.2800000000279397</v>
      </c>
      <c r="W584" s="65">
        <f>W583-W582</f>
        <v>-23.252046899953712</v>
      </c>
      <c r="X584" s="45">
        <f t="shared" si="220"/>
        <v>1.8370607028753927E-2</v>
      </c>
    </row>
    <row r="585" spans="1:24" s="203" customFormat="1">
      <c r="A585" s="40" t="s">
        <v>267</v>
      </c>
      <c r="B585" s="15"/>
      <c r="C585" s="407">
        <v>4882.1147943908736</v>
      </c>
      <c r="D585" s="408"/>
      <c r="E585" s="407">
        <v>5667</v>
      </c>
      <c r="F585" s="408"/>
      <c r="G585" s="237">
        <v>6.11</v>
      </c>
      <c r="H585" s="420"/>
      <c r="I585" s="421">
        <f>ROUND(C585*$G585,0)</f>
        <v>29830</v>
      </c>
      <c r="J585" s="408"/>
      <c r="K585" s="421">
        <f>ROUND(E585*$G585,0)</f>
        <v>34625</v>
      </c>
      <c r="L585" s="105"/>
      <c r="M585" s="41">
        <f>MROUND(G585*(1+$V$586),0.2)</f>
        <v>6.2</v>
      </c>
      <c r="N585" s="149"/>
      <c r="O585" s="206">
        <f>ROUND(E585*M585,0)</f>
        <v>35135</v>
      </c>
      <c r="P585" s="105"/>
      <c r="Q585" s="83"/>
      <c r="R585" s="149"/>
      <c r="S585" s="28"/>
      <c r="U585" s="69" t="s">
        <v>26</v>
      </c>
      <c r="V585" s="139">
        <f>V582/(K588)-1</f>
        <v>1.5030426656467588E-2</v>
      </c>
      <c r="W585" s="38" t="s">
        <v>144</v>
      </c>
      <c r="X585" s="45">
        <f t="shared" si="220"/>
        <v>1.4729950900163713E-2</v>
      </c>
    </row>
    <row r="586" spans="1:24" s="203" customFormat="1">
      <c r="A586" s="40" t="s">
        <v>268</v>
      </c>
      <c r="B586" s="15"/>
      <c r="C586" s="407">
        <v>14648260</v>
      </c>
      <c r="D586" s="408"/>
      <c r="E586" s="407">
        <v>16985647</v>
      </c>
      <c r="F586" s="408"/>
      <c r="G586" s="456">
        <v>5.2746000000000004</v>
      </c>
      <c r="H586" s="424" t="s">
        <v>17</v>
      </c>
      <c r="I586" s="421">
        <f>ROUND(C586*$G586/100,0)</f>
        <v>772637</v>
      </c>
      <c r="J586" s="408"/>
      <c r="K586" s="421">
        <f>ROUND(E586*$G586/100,0)</f>
        <v>895925</v>
      </c>
      <c r="L586" s="105"/>
      <c r="M586" s="170">
        <f>ROUND((V583-SUM(O582:O585))/E586*100,4)</f>
        <v>5.3437000000000001</v>
      </c>
      <c r="N586" s="222" t="s">
        <v>17</v>
      </c>
      <c r="O586" s="206">
        <f>ROUND(E586*M586/100,0)</f>
        <v>907662</v>
      </c>
      <c r="P586" s="105"/>
      <c r="Q586" s="83">
        <f>W586</f>
        <v>-1.9599999999999999E-2</v>
      </c>
      <c r="R586" s="222"/>
      <c r="S586" s="28">
        <f t="shared" ref="S586" si="221">O586*Q586*254/365</f>
        <v>-12380.012330958903</v>
      </c>
      <c r="U586" s="91" t="s">
        <v>28</v>
      </c>
      <c r="V586" s="146">
        <f>V583/(K588)-1</f>
        <v>1.5026860284026444E-2</v>
      </c>
      <c r="W586" s="49">
        <f>ROUND(W583/SUM(O586)*365/254,4)</f>
        <v>-1.9599999999999999E-2</v>
      </c>
      <c r="X586" s="45">
        <f t="shared" si="220"/>
        <v>1.3100519470670813E-2</v>
      </c>
    </row>
    <row r="587" spans="1:24" s="203" customFormat="1">
      <c r="A587" s="40" t="s">
        <v>269</v>
      </c>
      <c r="B587" s="15"/>
      <c r="C587" s="428">
        <v>50653</v>
      </c>
      <c r="D587" s="408"/>
      <c r="E587" s="428">
        <v>0</v>
      </c>
      <c r="F587" s="408"/>
      <c r="G587" s="409"/>
      <c r="H587" s="408"/>
      <c r="I587" s="429">
        <v>5168</v>
      </c>
      <c r="J587" s="408"/>
      <c r="K587" s="429">
        <v>0</v>
      </c>
      <c r="L587" s="105"/>
      <c r="M587" s="15"/>
      <c r="N587" s="105"/>
      <c r="O587" s="209">
        <v>0</v>
      </c>
      <c r="P587" s="105"/>
      <c r="Q587" s="141"/>
      <c r="R587" s="105"/>
      <c r="S587" s="209"/>
      <c r="U587" s="162" t="s">
        <v>48</v>
      </c>
      <c r="V587" s="163">
        <f>(O588+O589)/(K588+K589)-1</f>
        <v>3.5135744487213572E-6</v>
      </c>
      <c r="W587" s="207"/>
    </row>
    <row r="588" spans="1:24" s="203" customFormat="1" ht="16.5" thickBot="1">
      <c r="A588" s="15" t="s">
        <v>218</v>
      </c>
      <c r="B588" s="15"/>
      <c r="C588" s="441">
        <f>C586+C587</f>
        <v>14698913</v>
      </c>
      <c r="D588" s="408"/>
      <c r="E588" s="441">
        <f>E586+E587</f>
        <v>16985647</v>
      </c>
      <c r="F588" s="408"/>
      <c r="G588" s="439"/>
      <c r="H588" s="408"/>
      <c r="I588" s="440">
        <f>SUM(I582:I587)</f>
        <v>1040046</v>
      </c>
      <c r="J588" s="408"/>
      <c r="K588" s="440">
        <f>SUM(K582:K587)</f>
        <v>1200099</v>
      </c>
      <c r="L588" s="105"/>
      <c r="M588" s="113"/>
      <c r="N588" s="105"/>
      <c r="O588" s="228">
        <f>SUM(O582:O587)</f>
        <v>1218137</v>
      </c>
      <c r="P588" s="105"/>
      <c r="Q588" s="143"/>
      <c r="R588" s="105"/>
      <c r="S588" s="228">
        <f>SUM(S582:S587)</f>
        <v>-12380.012330958903</v>
      </c>
      <c r="U588" s="216"/>
      <c r="V588" s="207"/>
      <c r="W588" s="207"/>
    </row>
    <row r="589" spans="1:24" s="203" customFormat="1" ht="16.5" thickTop="1">
      <c r="A589" s="40" t="s">
        <v>45</v>
      </c>
      <c r="B589" s="15"/>
      <c r="C589" s="407"/>
      <c r="D589" s="408"/>
      <c r="E589" s="407"/>
      <c r="F589" s="408"/>
      <c r="G589" s="433"/>
      <c r="H589" s="434"/>
      <c r="I589" s="429">
        <v>18033.72</v>
      </c>
      <c r="J589" s="408"/>
      <c r="K589" s="429">
        <f>I589</f>
        <v>18033.72</v>
      </c>
      <c r="L589" s="17"/>
      <c r="M589" s="36"/>
      <c r="N589" s="99"/>
      <c r="O589" s="89">
        <v>0</v>
      </c>
      <c r="P589" s="17"/>
      <c r="Q589" s="36"/>
      <c r="R589" s="99"/>
      <c r="S589" s="89"/>
      <c r="U589" s="207"/>
      <c r="V589" s="207"/>
      <c r="W589" s="207"/>
    </row>
    <row r="590" spans="1:24" s="203" customFormat="1">
      <c r="A590" s="40" t="s">
        <v>46</v>
      </c>
      <c r="B590" s="15"/>
      <c r="C590" s="407"/>
      <c r="D590" s="408"/>
      <c r="E590" s="407"/>
      <c r="F590" s="408"/>
      <c r="G590" s="433">
        <f>M590</f>
        <v>4.9500000000000002E-2</v>
      </c>
      <c r="H590" s="434"/>
      <c r="I590" s="429">
        <f>ROUND(SUM(I586,I589)*$G590,0)</f>
        <v>39138</v>
      </c>
      <c r="J590" s="408"/>
      <c r="K590" s="429">
        <f>ROUND(SUM(K586,K589)*$G590,0)</f>
        <v>45241</v>
      </c>
      <c r="L590" s="105"/>
      <c r="M590" s="136">
        <v>4.9500000000000002E-2</v>
      </c>
      <c r="N590" s="217"/>
      <c r="O590" s="209">
        <f>ROUND(SUM(O586,O589)*M590,0)</f>
        <v>44929</v>
      </c>
      <c r="P590" s="105"/>
      <c r="Q590" s="136"/>
      <c r="R590" s="217"/>
      <c r="S590" s="209"/>
      <c r="U590" s="207"/>
      <c r="V590" s="207"/>
      <c r="W590" s="207"/>
    </row>
    <row r="591" spans="1:24" s="203" customFormat="1">
      <c r="A591" s="15"/>
      <c r="B591" s="15"/>
      <c r="C591" s="407"/>
      <c r="D591" s="408"/>
      <c r="E591" s="407"/>
      <c r="F591" s="408"/>
      <c r="G591" s="409"/>
      <c r="H591" s="408"/>
      <c r="I591" s="409"/>
      <c r="J591" s="408"/>
      <c r="K591" s="409"/>
      <c r="L591" s="105"/>
      <c r="M591" s="15"/>
      <c r="N591" s="105"/>
      <c r="O591" s="15"/>
      <c r="P591" s="105"/>
      <c r="Q591" s="141"/>
      <c r="R591" s="105"/>
      <c r="S591" s="202"/>
      <c r="U591" s="207"/>
      <c r="V591" s="207"/>
      <c r="W591" s="52" t="s">
        <v>4</v>
      </c>
    </row>
    <row r="592" spans="1:24" s="203" customFormat="1">
      <c r="A592" s="223" t="s">
        <v>270</v>
      </c>
      <c r="B592" s="15"/>
      <c r="C592" s="407"/>
      <c r="D592" s="408"/>
      <c r="E592" s="407"/>
      <c r="F592" s="408"/>
      <c r="G592" s="408"/>
      <c r="H592" s="408"/>
      <c r="I592" s="427"/>
      <c r="J592" s="408"/>
      <c r="K592" s="427"/>
      <c r="L592" s="105"/>
      <c r="M592" s="105"/>
      <c r="N592" s="105"/>
      <c r="O592" s="204"/>
      <c r="P592" s="105"/>
      <c r="Q592" s="227"/>
      <c r="R592" s="105"/>
      <c r="S592" s="204"/>
      <c r="U592" s="55" t="s">
        <v>20</v>
      </c>
      <c r="V592" s="56">
        <f>O596</f>
        <v>559341</v>
      </c>
      <c r="W592" s="57">
        <f>S596</f>
        <v>-6738.1167320547947</v>
      </c>
    </row>
    <row r="593" spans="1:26" s="203" customFormat="1">
      <c r="A593" s="40" t="s">
        <v>271</v>
      </c>
      <c r="B593" s="15"/>
      <c r="C593" s="407">
        <v>26990.770685424308</v>
      </c>
      <c r="D593" s="408"/>
      <c r="E593" s="407">
        <v>26932</v>
      </c>
      <c r="F593" s="408"/>
      <c r="G593" s="237">
        <v>4.5</v>
      </c>
      <c r="H593" s="420"/>
      <c r="I593" s="421">
        <f>ROUND(C593*$G593,0)</f>
        <v>121458</v>
      </c>
      <c r="J593" s="408"/>
      <c r="K593" s="421">
        <f>ROUND(E593*$G593,0)</f>
        <v>121194</v>
      </c>
      <c r="L593" s="105"/>
      <c r="M593" s="41">
        <f>MROUND(G593*(1+$V$596),0.5)</f>
        <v>5</v>
      </c>
      <c r="N593" s="149"/>
      <c r="O593" s="206">
        <f>ROUND(E593*M593,0)</f>
        <v>134660</v>
      </c>
      <c r="P593" s="105"/>
      <c r="Q593" s="83"/>
      <c r="R593" s="149"/>
      <c r="S593" s="206"/>
      <c r="U593" s="60" t="s">
        <v>22</v>
      </c>
      <c r="V593" s="57">
        <f>(Stipulation!C14+Stipulation!E14)*1000</f>
        <v>559339.86723474518</v>
      </c>
      <c r="W593" s="57">
        <f>Stipulation!H14*1000</f>
        <v>-6723.974939871594</v>
      </c>
      <c r="X593" s="45">
        <f t="shared" ref="X593:X594" si="222">M593/G593-1</f>
        <v>0.11111111111111116</v>
      </c>
    </row>
    <row r="594" spans="1:26" s="203" customFormat="1">
      <c r="A594" s="40" t="s">
        <v>268</v>
      </c>
      <c r="B594" s="15"/>
      <c r="C594" s="407">
        <v>5586196.4239111878</v>
      </c>
      <c r="D594" s="408"/>
      <c r="E594" s="407">
        <v>5513548</v>
      </c>
      <c r="F594" s="408"/>
      <c r="G594" s="457">
        <v>6.9957000000000003</v>
      </c>
      <c r="H594" s="424" t="s">
        <v>17</v>
      </c>
      <c r="I594" s="421">
        <f>ROUND(C594*$G594/100,0)</f>
        <v>390794</v>
      </c>
      <c r="J594" s="408"/>
      <c r="K594" s="421">
        <f>ROUND(E594*$G594/100,0)</f>
        <v>385711</v>
      </c>
      <c r="L594" s="105"/>
      <c r="M594" s="170">
        <f>ROUND((V593-O593)/E594*100,4)</f>
        <v>7.7024999999999997</v>
      </c>
      <c r="N594" s="222" t="s">
        <v>17</v>
      </c>
      <c r="O594" s="206">
        <f>ROUND(E594*M594/100,0)</f>
        <v>424681</v>
      </c>
      <c r="P594" s="105"/>
      <c r="Q594" s="83">
        <f>W596</f>
        <v>-2.2800000000000001E-2</v>
      </c>
      <c r="R594" s="222"/>
      <c r="S594" s="28">
        <f t="shared" ref="S594" si="223">O594*Q594*254/365</f>
        <v>-6738.1167320547947</v>
      </c>
      <c r="U594" s="64" t="s">
        <v>24</v>
      </c>
      <c r="V594" s="65">
        <f>V593-V592</f>
        <v>-1.132765254820697</v>
      </c>
      <c r="W594" s="65">
        <f>W593-W592</f>
        <v>14.141792183200778</v>
      </c>
      <c r="X594" s="45">
        <f t="shared" si="222"/>
        <v>0.10103349200222977</v>
      </c>
    </row>
    <row r="595" spans="1:26" s="203" customFormat="1">
      <c r="A595" s="40" t="s">
        <v>269</v>
      </c>
      <c r="B595" s="15"/>
      <c r="C595" s="468">
        <v>48662</v>
      </c>
      <c r="D595" s="408"/>
      <c r="E595" s="428">
        <v>0</v>
      </c>
      <c r="F595" s="408"/>
      <c r="G595" s="409"/>
      <c r="H595" s="408"/>
      <c r="I595" s="429">
        <v>3406</v>
      </c>
      <c r="J595" s="408"/>
      <c r="K595" s="429">
        <v>0</v>
      </c>
      <c r="L595" s="105"/>
      <c r="M595" s="15"/>
      <c r="N595" s="105"/>
      <c r="O595" s="209">
        <v>0</v>
      </c>
      <c r="P595" s="105"/>
      <c r="Q595" s="141"/>
      <c r="R595" s="105"/>
      <c r="S595" s="209"/>
      <c r="T595" s="206"/>
      <c r="U595" s="69" t="s">
        <v>26</v>
      </c>
      <c r="V595" s="139">
        <f>V592/K596-1</f>
        <v>0.10344344601059374</v>
      </c>
      <c r="W595" s="39"/>
    </row>
    <row r="596" spans="1:26" s="203" customFormat="1" ht="16.5" thickBot="1">
      <c r="A596" s="15" t="s">
        <v>218</v>
      </c>
      <c r="B596" s="15"/>
      <c r="C596" s="441">
        <f>C594+C595</f>
        <v>5634858.4239111878</v>
      </c>
      <c r="D596" s="408"/>
      <c r="E596" s="441">
        <f>E594+E595</f>
        <v>5513548</v>
      </c>
      <c r="F596" s="408"/>
      <c r="G596" s="439"/>
      <c r="H596" s="408"/>
      <c r="I596" s="440">
        <f>SUM(I593:I595)</f>
        <v>515658</v>
      </c>
      <c r="J596" s="408"/>
      <c r="K596" s="440">
        <f>SUM(K593:K595)</f>
        <v>506905</v>
      </c>
      <c r="L596" s="105"/>
      <c r="M596" s="113"/>
      <c r="N596" s="105"/>
      <c r="O596" s="228">
        <f>SUM(O593:O595)</f>
        <v>559341</v>
      </c>
      <c r="P596" s="105"/>
      <c r="Q596" s="143"/>
      <c r="R596" s="105"/>
      <c r="S596" s="228">
        <f>SUM(S593:S595)</f>
        <v>-6738.1167320547947</v>
      </c>
      <c r="U596" s="91" t="s">
        <v>28</v>
      </c>
      <c r="V596" s="146">
        <f>V593/K596-1</f>
        <v>0.10344121134087292</v>
      </c>
      <c r="W596" s="49">
        <f>ROUND(W593/SUM(O594)*365/254,4)</f>
        <v>-2.2800000000000001E-2</v>
      </c>
    </row>
    <row r="597" spans="1:26" s="203" customFormat="1" ht="16.5" thickTop="1">
      <c r="A597" s="40" t="s">
        <v>45</v>
      </c>
      <c r="B597" s="15"/>
      <c r="C597" s="407"/>
      <c r="D597" s="408"/>
      <c r="E597" s="407"/>
      <c r="F597" s="408"/>
      <c r="G597" s="433"/>
      <c r="H597" s="434"/>
      <c r="I597" s="429">
        <v>14374.958600000002</v>
      </c>
      <c r="J597" s="408"/>
      <c r="K597" s="429">
        <f>I597</f>
        <v>14374.958600000002</v>
      </c>
      <c r="L597" s="17"/>
      <c r="M597" s="36"/>
      <c r="N597" s="99"/>
      <c r="O597" s="89">
        <v>0</v>
      </c>
      <c r="P597" s="17"/>
      <c r="Q597" s="36"/>
      <c r="R597" s="99"/>
      <c r="S597" s="89"/>
      <c r="T597" s="206"/>
      <c r="U597" s="162" t="s">
        <v>48</v>
      </c>
      <c r="V597" s="163">
        <f>(O596+O597)/(K596+K597)-1</f>
        <v>7.3014587981131029E-2</v>
      </c>
    </row>
    <row r="598" spans="1:26" s="203" customFormat="1">
      <c r="A598" s="40" t="s">
        <v>46</v>
      </c>
      <c r="B598" s="15"/>
      <c r="C598" s="407"/>
      <c r="D598" s="408"/>
      <c r="E598" s="407"/>
      <c r="F598" s="408"/>
      <c r="G598" s="433">
        <f>M598</f>
        <v>4.8399999999999999E-2</v>
      </c>
      <c r="H598" s="434"/>
      <c r="I598" s="429">
        <f>ROUND(SUM(I594,I597)*$G598,0)</f>
        <v>19610</v>
      </c>
      <c r="J598" s="408"/>
      <c r="K598" s="429">
        <f>ROUND(SUM(K594,K597)*$G598,0)</f>
        <v>19364</v>
      </c>
      <c r="L598" s="105"/>
      <c r="M598" s="136">
        <v>4.8399999999999999E-2</v>
      </c>
      <c r="N598" s="217"/>
      <c r="O598" s="209">
        <f>ROUND(SUM(O594,O597)*M598,0)</f>
        <v>20555</v>
      </c>
      <c r="P598" s="105"/>
      <c r="Q598" s="136"/>
      <c r="R598" s="217"/>
      <c r="S598" s="209"/>
      <c r="U598" s="105"/>
      <c r="V598" s="61"/>
    </row>
    <row r="599" spans="1:26" s="203" customFormat="1">
      <c r="A599" s="40"/>
      <c r="B599" s="15"/>
      <c r="C599" s="407"/>
      <c r="D599" s="408"/>
      <c r="E599" s="407"/>
      <c r="F599" s="408"/>
      <c r="G599" s="433"/>
      <c r="H599" s="434"/>
      <c r="I599" s="427"/>
      <c r="J599" s="408"/>
      <c r="K599" s="427"/>
      <c r="L599" s="105"/>
      <c r="M599" s="98"/>
      <c r="N599" s="217"/>
      <c r="O599" s="204"/>
      <c r="P599" s="105"/>
      <c r="Q599" s="98"/>
      <c r="R599" s="217"/>
      <c r="S599" s="204"/>
    </row>
    <row r="600" spans="1:26" s="203" customFormat="1">
      <c r="A600" s="37" t="s">
        <v>272</v>
      </c>
      <c r="B600" s="16"/>
      <c r="C600" s="407"/>
      <c r="D600" s="408"/>
      <c r="E600" s="407"/>
      <c r="F600" s="408"/>
      <c r="G600" s="409"/>
      <c r="H600" s="408"/>
      <c r="I600" s="409"/>
      <c r="J600" s="408"/>
      <c r="K600" s="409"/>
      <c r="L600" s="17"/>
      <c r="M600" s="16"/>
      <c r="N600" s="17"/>
      <c r="O600" s="16"/>
      <c r="P600" s="17"/>
      <c r="Q600" s="18"/>
      <c r="R600" s="17"/>
      <c r="S600" s="19"/>
      <c r="U600" s="16"/>
      <c r="V600" s="11"/>
      <c r="W600" s="11"/>
    </row>
    <row r="601" spans="1:26" s="203" customFormat="1">
      <c r="A601" s="229" t="s">
        <v>273</v>
      </c>
      <c r="B601" s="16"/>
      <c r="C601" s="407"/>
      <c r="D601" s="408"/>
      <c r="E601" s="407"/>
      <c r="F601" s="408"/>
      <c r="G601" s="409"/>
      <c r="H601" s="408"/>
      <c r="I601" s="409"/>
      <c r="J601" s="408"/>
      <c r="K601" s="409"/>
      <c r="L601" s="17"/>
      <c r="M601" s="16"/>
      <c r="N601" s="17"/>
      <c r="O601" s="16"/>
      <c r="P601" s="17"/>
      <c r="Q601" s="18"/>
      <c r="R601" s="17"/>
      <c r="S601" s="19"/>
      <c r="T601" s="211"/>
      <c r="U601" s="101"/>
      <c r="V601" s="135"/>
      <c r="W601" s="11"/>
      <c r="X601" s="11"/>
      <c r="Y601" s="11"/>
    </row>
    <row r="602" spans="1:26" s="203" customFormat="1">
      <c r="A602" s="40" t="s">
        <v>13</v>
      </c>
      <c r="B602" s="16"/>
      <c r="C602" s="407">
        <v>36.000030554855599</v>
      </c>
      <c r="D602" s="408"/>
      <c r="E602" s="422">
        <v>36</v>
      </c>
      <c r="F602" s="408"/>
      <c r="G602" s="237">
        <v>97</v>
      </c>
      <c r="H602" s="420"/>
      <c r="I602" s="421">
        <f>ROUND($G602*C602,0)</f>
        <v>3492</v>
      </c>
      <c r="J602" s="408"/>
      <c r="K602" s="421">
        <f>ROUND($G602*E602,0)</f>
        <v>3492</v>
      </c>
      <c r="L602" s="17"/>
      <c r="M602" s="41">
        <f>ROUND(G602*(1+$V$613),0)</f>
        <v>110</v>
      </c>
      <c r="N602" s="42"/>
      <c r="O602" s="28">
        <f>ROUND(M602*$E602,0)</f>
        <v>3960</v>
      </c>
      <c r="P602" s="17"/>
      <c r="Q602" s="83"/>
      <c r="R602" s="42"/>
      <c r="S602" s="28"/>
      <c r="U602" s="16"/>
      <c r="V602" s="135"/>
      <c r="W602" s="117"/>
      <c r="X602" s="45">
        <f t="shared" ref="X602:X605" si="224">M602/G602-1</f>
        <v>0.134020618556701</v>
      </c>
      <c r="Y602" s="11"/>
    </row>
    <row r="603" spans="1:26">
      <c r="A603" s="40" t="s">
        <v>274</v>
      </c>
      <c r="C603" s="407">
        <v>11083.99993392362</v>
      </c>
      <c r="E603" s="422">
        <f>ROUND(C603*$E$607/$C$607,0)</f>
        <v>10404</v>
      </c>
      <c r="G603" s="237">
        <v>3.29</v>
      </c>
      <c r="H603" s="420"/>
      <c r="I603" s="421">
        <f>ROUND($G603*C603,0)</f>
        <v>36466</v>
      </c>
      <c r="K603" s="421">
        <f>ROUND($G603*E603,0)</f>
        <v>34229</v>
      </c>
      <c r="M603" s="41">
        <f>ROUND(G603*(1+$V$614),2)</f>
        <v>3.75</v>
      </c>
      <c r="N603" s="42"/>
      <c r="O603" s="28">
        <f>ROUND(M603*$E603,0)</f>
        <v>39015</v>
      </c>
      <c r="Q603" s="83"/>
      <c r="R603" s="42"/>
      <c r="S603" s="28"/>
      <c r="T603" s="28"/>
      <c r="V603" s="135"/>
      <c r="W603" s="117"/>
      <c r="X603" s="45">
        <f t="shared" si="224"/>
        <v>0.13981762917933138</v>
      </c>
      <c r="Z603" s="120"/>
    </row>
    <row r="604" spans="1:26">
      <c r="A604" s="40" t="s">
        <v>275</v>
      </c>
      <c r="C604" s="407">
        <v>419913</v>
      </c>
      <c r="E604" s="422">
        <f>ROUND(C604*($E$607-$E$606)/($C$607-$C$606),0)</f>
        <v>394142</v>
      </c>
      <c r="G604" s="469">
        <v>5.2439999999999998</v>
      </c>
      <c r="H604" s="424" t="s">
        <v>17</v>
      </c>
      <c r="I604" s="421">
        <f>ROUND($G604*C604/100,0)</f>
        <v>22020</v>
      </c>
      <c r="K604" s="421">
        <f>ROUND($G604*E604/100,0)</f>
        <v>20669</v>
      </c>
      <c r="M604" s="230">
        <f>ROUND(G604*(1+$V$614),4)</f>
        <v>5.9694000000000003</v>
      </c>
      <c r="N604" s="48" t="s">
        <v>17</v>
      </c>
      <c r="O604" s="28">
        <f>ROUND(M604*$E604/100,0)</f>
        <v>23528</v>
      </c>
      <c r="Q604" s="231">
        <f>$W$613</f>
        <v>-6.2E-2</v>
      </c>
      <c r="R604" s="48"/>
      <c r="S604" s="28">
        <f t="shared" ref="S604:S605" si="225">O604*Q604*254/365</f>
        <v>-1015.1203945205478</v>
      </c>
      <c r="V604" s="135"/>
      <c r="W604" s="117"/>
      <c r="X604" s="45">
        <f t="shared" si="224"/>
        <v>0.13832951945080096</v>
      </c>
      <c r="Y604" s="28"/>
    </row>
    <row r="605" spans="1:26">
      <c r="A605" s="40" t="s">
        <v>163</v>
      </c>
      <c r="C605" s="407">
        <v>0</v>
      </c>
      <c r="E605" s="422">
        <f>E607-E604</f>
        <v>0</v>
      </c>
      <c r="G605" s="469">
        <v>4.4032</v>
      </c>
      <c r="H605" s="424" t="s">
        <v>17</v>
      </c>
      <c r="I605" s="421">
        <f>ROUND($G605*C605/100,0)</f>
        <v>0</v>
      </c>
      <c r="K605" s="421">
        <f>ROUND($G605*E605/100,0)</f>
        <v>0</v>
      </c>
      <c r="M605" s="230">
        <f>ROUND(G605*(1+$V$614),4)</f>
        <v>5.0122999999999998</v>
      </c>
      <c r="N605" s="48" t="s">
        <v>17</v>
      </c>
      <c r="O605" s="28">
        <f>ROUND(M605*$E605/100,0)</f>
        <v>0</v>
      </c>
      <c r="Q605" s="231">
        <f>$W$613</f>
        <v>-6.2E-2</v>
      </c>
      <c r="R605" s="48"/>
      <c r="S605" s="28">
        <f t="shared" si="225"/>
        <v>0</v>
      </c>
      <c r="T605" s="28"/>
      <c r="W605" s="117"/>
      <c r="X605" s="45">
        <f t="shared" si="224"/>
        <v>0.13833121366279055</v>
      </c>
      <c r="Y605" s="28"/>
    </row>
    <row r="606" spans="1:26">
      <c r="A606" s="40" t="s">
        <v>41</v>
      </c>
      <c r="C606" s="428">
        <v>0</v>
      </c>
      <c r="E606" s="428">
        <v>0</v>
      </c>
      <c r="G606" s="469"/>
      <c r="H606" s="464"/>
      <c r="I606" s="429">
        <v>0</v>
      </c>
      <c r="K606" s="429"/>
      <c r="M606" s="230"/>
      <c r="N606" s="232"/>
      <c r="O606" s="89">
        <v>0</v>
      </c>
      <c r="Q606" s="231"/>
      <c r="R606" s="232"/>
      <c r="S606" s="89"/>
      <c r="T606" s="28"/>
      <c r="W606"/>
      <c r="X606" s="117"/>
      <c r="Y606" s="28"/>
      <c r="Z606" s="120"/>
    </row>
    <row r="607" spans="1:26">
      <c r="A607" s="40" t="s">
        <v>276</v>
      </c>
      <c r="C607" s="407">
        <f>C605+C604+C606</f>
        <v>419913</v>
      </c>
      <c r="E607" s="407">
        <f>ROUND(E615*C607/(C615-C613),0)</f>
        <v>394142</v>
      </c>
      <c r="G607" s="444"/>
      <c r="H607" s="443"/>
      <c r="I607" s="421">
        <f>SUM(I602:I606)</f>
        <v>61978</v>
      </c>
      <c r="K607" s="421">
        <f>SUM(K602:K606)</f>
        <v>58390</v>
      </c>
      <c r="M607" s="128"/>
      <c r="N607" s="125"/>
      <c r="O607" s="28">
        <f>SUM(O602:O606)</f>
        <v>66503</v>
      </c>
      <c r="Q607" s="80"/>
      <c r="R607" s="125"/>
      <c r="S607" s="28">
        <f>SUM(S602:S606)</f>
        <v>-1015.1203945205478</v>
      </c>
      <c r="T607" s="28"/>
      <c r="W607" s="86"/>
      <c r="X607" s="117"/>
      <c r="Y607" s="28"/>
      <c r="Z607" s="120"/>
    </row>
    <row r="608" spans="1:26">
      <c r="A608" s="229" t="s">
        <v>277</v>
      </c>
      <c r="C608" s="407"/>
      <c r="E608" s="422"/>
      <c r="G608" s="444"/>
      <c r="H608" s="443"/>
      <c r="M608" s="128"/>
      <c r="N608" s="125"/>
      <c r="Q608" s="80"/>
      <c r="R608" s="125"/>
      <c r="T608" s="28"/>
      <c r="U608" s="101"/>
      <c r="V608" s="135"/>
      <c r="W608" s="52" t="s">
        <v>4</v>
      </c>
      <c r="X608"/>
      <c r="Y608"/>
      <c r="Z608" s="120"/>
    </row>
    <row r="609" spans="1:26">
      <c r="A609" s="40" t="s">
        <v>13</v>
      </c>
      <c r="C609" s="407">
        <v>24.000103806867102</v>
      </c>
      <c r="E609" s="422">
        <v>24</v>
      </c>
      <c r="G609" s="237">
        <v>97</v>
      </c>
      <c r="H609" s="420"/>
      <c r="I609" s="421">
        <f>ROUND($G609*C609,0)</f>
        <v>2328</v>
      </c>
      <c r="K609" s="421">
        <f>ROUND($G609*E609,0)</f>
        <v>2328</v>
      </c>
      <c r="M609" s="41">
        <f>M602</f>
        <v>110</v>
      </c>
      <c r="N609" s="42"/>
      <c r="O609" s="28">
        <f>ROUND(M609*$E609,0)</f>
        <v>2640</v>
      </c>
      <c r="Q609" s="83"/>
      <c r="R609" s="42"/>
      <c r="S609" s="28"/>
      <c r="T609" s="79"/>
      <c r="U609" s="55" t="s">
        <v>20</v>
      </c>
      <c r="V609" s="56">
        <f>O615</f>
        <v>305059</v>
      </c>
      <c r="W609" s="57">
        <f>S615</f>
        <v>-5739.5203945205476</v>
      </c>
      <c r="X609" s="45">
        <f t="shared" ref="X609:X612" si="226">M609/G609-1</f>
        <v>0.134020618556701</v>
      </c>
      <c r="Y609" s="28"/>
      <c r="Z609" s="120"/>
    </row>
    <row r="610" spans="1:26">
      <c r="A610" s="40" t="s">
        <v>274</v>
      </c>
      <c r="C610" s="407">
        <v>36063.0041284525</v>
      </c>
      <c r="E610" s="422">
        <f>ROUND(C610*$E$614/$C$614,0)</f>
        <v>33711</v>
      </c>
      <c r="G610" s="237">
        <v>3.29</v>
      </c>
      <c r="H610" s="420"/>
      <c r="I610" s="421">
        <f>ROUND($G610*C610,0)</f>
        <v>118647</v>
      </c>
      <c r="K610" s="421">
        <f>ROUND($G610*E610,0)</f>
        <v>110909</v>
      </c>
      <c r="M610" s="41">
        <f>M603</f>
        <v>3.75</v>
      </c>
      <c r="N610" s="42"/>
      <c r="O610" s="28">
        <f>ROUND(M610*$E610,0)</f>
        <v>126416</v>
      </c>
      <c r="Q610" s="83"/>
      <c r="R610" s="42"/>
      <c r="S610" s="28"/>
      <c r="T610" s="28"/>
      <c r="U610" s="60" t="s">
        <v>22</v>
      </c>
      <c r="V610" s="57">
        <f>(Stipulation!C15+Stipulation!E15)*1000</f>
        <v>305058.71636497631</v>
      </c>
      <c r="W610" s="57">
        <f>Stipulation!H15*1000</f>
        <v>-5742.9353338691499</v>
      </c>
      <c r="X610" s="45">
        <f t="shared" si="226"/>
        <v>0.13981762917933138</v>
      </c>
    </row>
    <row r="611" spans="1:26">
      <c r="A611" s="40" t="s">
        <v>275</v>
      </c>
      <c r="C611" s="407">
        <v>2044523</v>
      </c>
      <c r="E611" s="422">
        <f>ROUND(C611*($E$614-$E$613)/($C$614-$C$613),0)</f>
        <v>1919046</v>
      </c>
      <c r="G611" s="469">
        <v>4.1257000000000001</v>
      </c>
      <c r="H611" s="424" t="s">
        <v>17</v>
      </c>
      <c r="I611" s="421">
        <f>ROUND($G611*C611/100,0)</f>
        <v>84351</v>
      </c>
      <c r="K611" s="421">
        <f>ROUND($G611*E611/100,0)</f>
        <v>79174</v>
      </c>
      <c r="M611" s="230">
        <f>ROUND(G611*(1+$V$614),4)</f>
        <v>4.6963999999999997</v>
      </c>
      <c r="N611" s="48" t="s">
        <v>17</v>
      </c>
      <c r="O611" s="28">
        <f>ROUND(M611*$E611/100,0)</f>
        <v>90126</v>
      </c>
      <c r="Q611" s="231">
        <f>$W$613</f>
        <v>-6.2E-2</v>
      </c>
      <c r="R611" s="48"/>
      <c r="S611" s="28">
        <f t="shared" ref="S611:S612" si="227">O611*Q611*254/365</f>
        <v>-3888.5047890410956</v>
      </c>
      <c r="T611" s="204"/>
      <c r="U611" s="64" t="s">
        <v>24</v>
      </c>
      <c r="V611" s="65">
        <f>V610-V609</f>
        <v>-0.28363502369029447</v>
      </c>
      <c r="W611" s="65">
        <f>W610-W609</f>
        <v>-3.4149393486022745</v>
      </c>
      <c r="X611" s="45">
        <f t="shared" si="226"/>
        <v>0.13832804130208198</v>
      </c>
      <c r="Y611" s="28"/>
      <c r="Z611"/>
    </row>
    <row r="612" spans="1:26">
      <c r="A612" s="40" t="s">
        <v>163</v>
      </c>
      <c r="C612" s="407">
        <v>501600</v>
      </c>
      <c r="E612" s="422">
        <f>E614-E611</f>
        <v>470816</v>
      </c>
      <c r="G612" s="469">
        <v>3.6547000000000001</v>
      </c>
      <c r="H612" s="424" t="s">
        <v>17</v>
      </c>
      <c r="I612" s="421">
        <f>ROUND($G612*C612/100,0)</f>
        <v>18332</v>
      </c>
      <c r="K612" s="421">
        <f>ROUND($G612*E612/100,0)</f>
        <v>17207</v>
      </c>
      <c r="M612" s="230">
        <f>ROUND((V610-SUM(O607,O609:O611))/E612*100,4)</f>
        <v>4.1148999999999996</v>
      </c>
      <c r="N612" s="48" t="s">
        <v>17</v>
      </c>
      <c r="O612" s="28">
        <f>ROUND(M612*$E612/100,0)</f>
        <v>19374</v>
      </c>
      <c r="Q612" s="231">
        <f>$W$613</f>
        <v>-6.2E-2</v>
      </c>
      <c r="R612" s="48"/>
      <c r="S612" s="28">
        <f t="shared" si="227"/>
        <v>-835.89521095890416</v>
      </c>
      <c r="T612" s="79"/>
      <c r="U612" s="69" t="s">
        <v>26</v>
      </c>
      <c r="V612" s="139">
        <f>V609/K615-1</f>
        <v>0.1382458732575147</v>
      </c>
      <c r="W612" s="38" t="s">
        <v>144</v>
      </c>
      <c r="X612" s="45">
        <f t="shared" si="226"/>
        <v>0.1259200481571674</v>
      </c>
      <c r="Z612"/>
    </row>
    <row r="613" spans="1:26">
      <c r="A613" s="40" t="s">
        <v>41</v>
      </c>
      <c r="C613" s="428">
        <v>10501</v>
      </c>
      <c r="E613" s="428">
        <v>0</v>
      </c>
      <c r="G613" s="469"/>
      <c r="H613" s="464"/>
      <c r="I613" s="429">
        <v>620</v>
      </c>
      <c r="K613" s="429">
        <v>0</v>
      </c>
      <c r="M613" s="230"/>
      <c r="N613" s="233"/>
      <c r="O613" s="90">
        <v>0</v>
      </c>
      <c r="Q613" s="231"/>
      <c r="R613" s="233"/>
      <c r="S613" s="90"/>
      <c r="T613" s="79"/>
      <c r="U613" s="74" t="s">
        <v>28</v>
      </c>
      <c r="V613" s="140">
        <f>V610/K615-1</f>
        <v>0.13824481494946528</v>
      </c>
      <c r="W613" s="49">
        <f>ROUND(W610/SUM(O604:O605,O611:O612)*365/254,4)</f>
        <v>-6.2E-2</v>
      </c>
      <c r="Z613"/>
    </row>
    <row r="614" spans="1:26">
      <c r="A614" s="40" t="s">
        <v>276</v>
      </c>
      <c r="C614" s="407">
        <f>C612+C611+C613</f>
        <v>2556624</v>
      </c>
      <c r="E614" s="407">
        <f>E615-E607</f>
        <v>2389862</v>
      </c>
      <c r="G614" s="444"/>
      <c r="H614" s="443"/>
      <c r="I614" s="421">
        <f>SUM(I609:I613)</f>
        <v>224278</v>
      </c>
      <c r="K614" s="421">
        <f>SUM(K609:K613)</f>
        <v>209618</v>
      </c>
      <c r="M614" s="128"/>
      <c r="N614" s="125"/>
      <c r="O614" s="28">
        <f>SUM(O609:O613)</f>
        <v>238556</v>
      </c>
      <c r="Q614" s="80"/>
      <c r="R614" s="125"/>
      <c r="S614" s="28">
        <f>SUM(S609:S613)</f>
        <v>-4724.3999999999996</v>
      </c>
      <c r="U614" s="74" t="s">
        <v>80</v>
      </c>
      <c r="V614" s="140">
        <f>(V610-O602-O609)/(K615-K602-K609)-1</f>
        <v>0.13833858286792799</v>
      </c>
      <c r="W614" s="234"/>
    </row>
    <row r="615" spans="1:26" ht="16.5" thickBot="1">
      <c r="A615" s="40" t="s">
        <v>43</v>
      </c>
      <c r="C615" s="441">
        <f>C614+C607</f>
        <v>2976537</v>
      </c>
      <c r="E615" s="441">
        <v>2784004</v>
      </c>
      <c r="G615" s="439"/>
      <c r="I615" s="440">
        <f>I614+I607</f>
        <v>286256</v>
      </c>
      <c r="K615" s="440">
        <f>K614+K607</f>
        <v>268008</v>
      </c>
      <c r="M615" s="113"/>
      <c r="O615" s="228">
        <f>O614+O607</f>
        <v>305059</v>
      </c>
      <c r="Q615" s="143"/>
      <c r="S615" s="228">
        <f>S614+S607</f>
        <v>-5739.5203945205476</v>
      </c>
      <c r="U615" s="91" t="s">
        <v>48</v>
      </c>
      <c r="V615" s="146">
        <f>(O615+O616)/(K615+K616)-1</f>
        <v>8.4713423470400784E-2</v>
      </c>
      <c r="W615" s="235"/>
      <c r="X615" s="234"/>
      <c r="Y615" s="28"/>
    </row>
    <row r="616" spans="1:26" ht="16.5" thickTop="1">
      <c r="A616" s="40" t="s">
        <v>45</v>
      </c>
      <c r="C616" s="407"/>
      <c r="E616" s="407"/>
      <c r="G616" s="433"/>
      <c r="H616" s="434"/>
      <c r="I616" s="429">
        <v>13226.649999999998</v>
      </c>
      <c r="K616" s="429">
        <f>I616</f>
        <v>13226.649999999998</v>
      </c>
      <c r="M616" s="36"/>
      <c r="N616" s="99"/>
      <c r="O616" s="89">
        <v>0</v>
      </c>
      <c r="Q616" s="36"/>
      <c r="R616" s="99"/>
      <c r="S616" s="89"/>
      <c r="T616" s="28"/>
      <c r="U616" s="27"/>
      <c r="V616" s="45"/>
      <c r="W616" s="234"/>
      <c r="X616" s="234"/>
      <c r="Y616" s="28"/>
    </row>
    <row r="617" spans="1:26">
      <c r="A617" s="40" t="s">
        <v>46</v>
      </c>
      <c r="C617" s="407"/>
      <c r="E617" s="407"/>
      <c r="G617" s="433">
        <f>M617</f>
        <v>3.78E-2</v>
      </c>
      <c r="H617" s="434"/>
      <c r="I617" s="429">
        <f>ROUND(SUM(I603:I605,I610:I612,I616)*$G617,0)</f>
        <v>11077</v>
      </c>
      <c r="K617" s="429">
        <f>ROUND(SUM(K603:K605,K610:K612,K616)*$G617,0)</f>
        <v>10411</v>
      </c>
      <c r="M617" s="36">
        <v>3.78E-2</v>
      </c>
      <c r="N617" s="99"/>
      <c r="O617" s="89">
        <f>ROUND(SUM(O603:O605,O610:O612,O616)*M617,0)</f>
        <v>11282</v>
      </c>
      <c r="Q617" s="36"/>
      <c r="R617" s="99"/>
      <c r="S617" s="89"/>
      <c r="T617" s="28"/>
      <c r="U617" s="27"/>
      <c r="V617" s="236"/>
      <c r="W617" s="234"/>
      <c r="X617" s="235"/>
      <c r="Y617" s="28"/>
      <c r="Z617" s="120"/>
    </row>
    <row r="618" spans="1:26">
      <c r="C618" s="407"/>
      <c r="E618" s="407"/>
      <c r="T618" s="28"/>
      <c r="U618" s="27"/>
      <c r="V618" s="45"/>
      <c r="W618" s="234"/>
      <c r="X618" s="234"/>
      <c r="Y618" s="28"/>
      <c r="Z618" s="120"/>
    </row>
    <row r="619" spans="1:26">
      <c r="A619" s="37" t="s">
        <v>278</v>
      </c>
      <c r="C619" s="407"/>
      <c r="E619" s="407"/>
      <c r="T619" s="28"/>
      <c r="W619" s="52" t="s">
        <v>4</v>
      </c>
      <c r="X619" s="234"/>
      <c r="Y619" s="28"/>
      <c r="Z619" s="120"/>
    </row>
    <row r="620" spans="1:26">
      <c r="A620" s="40" t="s">
        <v>13</v>
      </c>
      <c r="C620" s="407">
        <f t="shared" ref="C620:C630" si="228">C635+C650+C665</f>
        <v>893530.83313115104</v>
      </c>
      <c r="E620" s="407">
        <f t="shared" ref="E620:E630" si="229">E635+E650+E665</f>
        <v>958829</v>
      </c>
      <c r="G620" s="237">
        <v>8</v>
      </c>
      <c r="H620" s="420"/>
      <c r="I620" s="421">
        <f>ROUND($G620*C620,0)</f>
        <v>7148247</v>
      </c>
      <c r="K620" s="421">
        <f>ROUND($G620*E620,0)</f>
        <v>7670632</v>
      </c>
      <c r="M620" s="237">
        <f>ROUND(G620*(1+$V$624),0)</f>
        <v>9</v>
      </c>
      <c r="N620" s="42"/>
      <c r="O620" s="28">
        <f>ROUND(M620*$E620,0)</f>
        <v>8629461</v>
      </c>
      <c r="Q620" s="137"/>
      <c r="R620" s="42"/>
      <c r="S620" s="28"/>
      <c r="T620" s="28"/>
      <c r="U620" s="55" t="s">
        <v>20</v>
      </c>
      <c r="V620" s="56">
        <f>O630+O97</f>
        <v>129485611</v>
      </c>
      <c r="W620" s="57">
        <f>S97+S630</f>
        <v>-2220375.3758728765</v>
      </c>
      <c r="X620" s="45">
        <f t="shared" ref="X620:X628" si="230">M620/G620-1</f>
        <v>0.125</v>
      </c>
      <c r="Y620" s="28"/>
      <c r="Z620" s="120"/>
    </row>
    <row r="621" spans="1:26">
      <c r="A621" s="40" t="s">
        <v>62</v>
      </c>
      <c r="C621" s="407">
        <f t="shared" si="228"/>
        <v>364552.75206289091</v>
      </c>
      <c r="E621" s="407">
        <f t="shared" si="229"/>
        <v>394241</v>
      </c>
      <c r="G621" s="237">
        <v>7.25</v>
      </c>
      <c r="H621" s="420"/>
      <c r="I621" s="421">
        <f>ROUND($G621*C621,0)</f>
        <v>2643007</v>
      </c>
      <c r="K621" s="421">
        <f>ROUND($G621*E621,0)</f>
        <v>2858247</v>
      </c>
      <c r="M621" s="237">
        <f>MROUND(G621*(1+$V$625),0.05)</f>
        <v>8</v>
      </c>
      <c r="N621" s="42"/>
      <c r="O621" s="28">
        <f>ROUND(M621*$E621,0)</f>
        <v>3153928</v>
      </c>
      <c r="Q621" s="137">
        <f>$W$624</f>
        <v>-2.64E-2</v>
      </c>
      <c r="R621" s="42"/>
      <c r="S621" s="28">
        <f t="shared" ref="S621:S622" si="231">O621*Q621*254/365</f>
        <v>-57942.409854246573</v>
      </c>
      <c r="T621" s="28"/>
      <c r="U621" s="60" t="s">
        <v>22</v>
      </c>
      <c r="V621" s="57">
        <f>(Stipulation!C16+Stipulation!E16)*1000</f>
        <v>129483908.6201794</v>
      </c>
      <c r="W621" s="57">
        <f>Stipulation!H16*1000</f>
        <v>-2202134.060738116</v>
      </c>
      <c r="X621" s="45">
        <f t="shared" si="230"/>
        <v>0.10344827586206895</v>
      </c>
      <c r="Y621" s="28"/>
      <c r="Z621" s="120"/>
    </row>
    <row r="622" spans="1:26">
      <c r="A622" s="40" t="s">
        <v>63</v>
      </c>
      <c r="C622" s="407">
        <f t="shared" si="228"/>
        <v>349447.92984869558</v>
      </c>
      <c r="E622" s="407">
        <f t="shared" si="229"/>
        <v>377760</v>
      </c>
      <c r="G622" s="237">
        <v>7.3</v>
      </c>
      <c r="H622" s="420"/>
      <c r="I622" s="421">
        <f>ROUND($G622*C622,0)</f>
        <v>2550970</v>
      </c>
      <c r="K622" s="421">
        <f>ROUND($G622*E622,0)</f>
        <v>2757648</v>
      </c>
      <c r="M622" s="237">
        <f>MROUND(G622*(1+$V$625),0.05)</f>
        <v>8.0500000000000007</v>
      </c>
      <c r="N622" s="42"/>
      <c r="O622" s="28">
        <f>ROUND(M622*$E622,0)</f>
        <v>3040968</v>
      </c>
      <c r="Q622" s="137">
        <f>$W$624</f>
        <v>-2.64E-2</v>
      </c>
      <c r="R622" s="42"/>
      <c r="S622" s="28">
        <f t="shared" si="231"/>
        <v>-55867.164440547953</v>
      </c>
      <c r="T622" s="28"/>
      <c r="U622" s="64" t="s">
        <v>24</v>
      </c>
      <c r="V622" s="65">
        <f>V621-V620</f>
        <v>-1702.379820600152</v>
      </c>
      <c r="W622" s="65">
        <f>W621-W620</f>
        <v>18241.315134760458</v>
      </c>
      <c r="X622" s="45">
        <f t="shared" si="230"/>
        <v>0.10273972602739745</v>
      </c>
      <c r="Y622" s="28"/>
      <c r="Z622" s="120"/>
    </row>
    <row r="623" spans="1:26">
      <c r="A623" s="40" t="s">
        <v>64</v>
      </c>
      <c r="C623" s="407">
        <f t="shared" si="228"/>
        <v>7774.2676508344102</v>
      </c>
      <c r="E623" s="407">
        <f t="shared" si="229"/>
        <v>8257</v>
      </c>
      <c r="G623" s="237">
        <v>-0.41</v>
      </c>
      <c r="H623" s="420"/>
      <c r="I623" s="421">
        <f>ROUND($G623*C623,0)</f>
        <v>-3187</v>
      </c>
      <c r="K623" s="421">
        <f>ROUND($G623*E623,0)</f>
        <v>-3385</v>
      </c>
      <c r="M623" s="237">
        <f>ROUND(G623*(1+$V$625),2)</f>
        <v>-0.45</v>
      </c>
      <c r="N623" s="42"/>
      <c r="O623" s="28">
        <f>ROUND(M623*$E623,0)</f>
        <v>-3716</v>
      </c>
      <c r="Q623" s="137"/>
      <c r="R623" s="42"/>
      <c r="S623" s="28"/>
      <c r="T623" s="28"/>
      <c r="U623" s="69" t="s">
        <v>26</v>
      </c>
      <c r="V623" s="139">
        <f>V620/(K630+K97)-1</f>
        <v>0.10266047123459088</v>
      </c>
      <c r="W623" s="182" t="s">
        <v>144</v>
      </c>
      <c r="X623" s="45">
        <f t="shared" si="230"/>
        <v>9.7560975609756184E-2</v>
      </c>
      <c r="Y623" s="28"/>
      <c r="Z623" s="120"/>
    </row>
    <row r="624" spans="1:26">
      <c r="A624" s="40" t="s">
        <v>65</v>
      </c>
      <c r="C624" s="407">
        <f t="shared" si="228"/>
        <v>276172143.47263509</v>
      </c>
      <c r="E624" s="407">
        <f t="shared" si="229"/>
        <v>299722723</v>
      </c>
      <c r="G624" s="425">
        <v>9.8214000000000006</v>
      </c>
      <c r="H624" s="424" t="s">
        <v>17</v>
      </c>
      <c r="I624" s="421">
        <f>ROUND($G624*C624/100,0)</f>
        <v>27123971</v>
      </c>
      <c r="K624" s="421">
        <f>ROUND($G624*E624/100,0)</f>
        <v>29436968</v>
      </c>
      <c r="M624" s="62">
        <f>ROUND(G624*(1+$V$625),4)</f>
        <v>10.8148</v>
      </c>
      <c r="N624" s="48" t="s">
        <v>17</v>
      </c>
      <c r="O624" s="28">
        <f>ROUND(M624*$E624/100,0)</f>
        <v>32414413</v>
      </c>
      <c r="Q624" s="137">
        <f t="shared" ref="Q624:Q627" si="232">$W$624</f>
        <v>-2.64E-2</v>
      </c>
      <c r="R624" s="42"/>
      <c r="S624" s="28">
        <f t="shared" ref="S624:S627" si="233">O624*Q624*254/365</f>
        <v>-595501.61044602748</v>
      </c>
      <c r="T624" s="28"/>
      <c r="U624" s="74" t="s">
        <v>28</v>
      </c>
      <c r="V624" s="140">
        <f>V621/(K630+K97)-1</f>
        <v>0.10264597428067668</v>
      </c>
      <c r="W624" s="184">
        <f>ROUND(W621/SUM(O88:O89,O91:O94,O621:O622,O624:O627)*365/254,4)+W630</f>
        <v>-2.64E-2</v>
      </c>
      <c r="X624" s="45">
        <f t="shared" si="230"/>
        <v>0.10114647606247584</v>
      </c>
      <c r="Y624" s="28"/>
      <c r="Z624" s="120"/>
    </row>
    <row r="625" spans="1:26">
      <c r="A625" s="40" t="s">
        <v>66</v>
      </c>
      <c r="C625" s="407">
        <f t="shared" si="228"/>
        <v>287321127.14760274</v>
      </c>
      <c r="E625" s="407">
        <f t="shared" si="229"/>
        <v>311778518</v>
      </c>
      <c r="G625" s="425">
        <v>5.5063000000000004</v>
      </c>
      <c r="H625" s="424" t="s">
        <v>17</v>
      </c>
      <c r="I625" s="421">
        <f>ROUND($G625*C625/100,0)</f>
        <v>15820763</v>
      </c>
      <c r="K625" s="421">
        <f>ROUND($G625*E625/100,0)</f>
        <v>17167461</v>
      </c>
      <c r="M625" s="62">
        <f t="shared" ref="M625:M626" si="234">ROUND(G625*(1+$V$625),4)</f>
        <v>6.0632000000000001</v>
      </c>
      <c r="N625" s="48" t="s">
        <v>17</v>
      </c>
      <c r="O625" s="28">
        <f>ROUND(M625*$E625/100,0)</f>
        <v>18903755</v>
      </c>
      <c r="Q625" s="137">
        <f t="shared" si="232"/>
        <v>-2.64E-2</v>
      </c>
      <c r="R625" s="42"/>
      <c r="S625" s="28">
        <f t="shared" si="233"/>
        <v>-347290.46446027397</v>
      </c>
      <c r="T625" s="79"/>
      <c r="U625" s="74" t="s">
        <v>80</v>
      </c>
      <c r="V625" s="140">
        <f>(V621-O620-O628-O87-O95)/(K630-K620-K628-K87-K95)-1</f>
        <v>0.10114630132442803</v>
      </c>
      <c r="W625" s="142" t="s">
        <v>79</v>
      </c>
      <c r="X625" s="45">
        <f t="shared" si="230"/>
        <v>0.1011386956758622</v>
      </c>
      <c r="Z625" s="120"/>
    </row>
    <row r="626" spans="1:26">
      <c r="A626" s="40" t="s">
        <v>67</v>
      </c>
      <c r="C626" s="407">
        <f t="shared" si="228"/>
        <v>391588057.16448581</v>
      </c>
      <c r="E626" s="407">
        <f t="shared" si="229"/>
        <v>424955295</v>
      </c>
      <c r="G626" s="425">
        <v>9.0399999999999991</v>
      </c>
      <c r="H626" s="424" t="s">
        <v>17</v>
      </c>
      <c r="I626" s="421">
        <f>ROUND($G626*C626/100,0)</f>
        <v>35399560</v>
      </c>
      <c r="K626" s="421">
        <f>ROUND($G626*E626/100,0)</f>
        <v>38415959</v>
      </c>
      <c r="M626" s="62">
        <f t="shared" si="234"/>
        <v>9.9543999999999997</v>
      </c>
      <c r="N626" s="48" t="s">
        <v>17</v>
      </c>
      <c r="O626" s="28">
        <f>ROUND(M626*$E626/100,0)</f>
        <v>42301750</v>
      </c>
      <c r="Q626" s="137">
        <f t="shared" si="232"/>
        <v>-2.64E-2</v>
      </c>
      <c r="R626" s="42"/>
      <c r="S626" s="28">
        <f t="shared" si="233"/>
        <v>-777146.88986301376</v>
      </c>
      <c r="T626" s="79"/>
      <c r="U626" s="91" t="s">
        <v>32</v>
      </c>
      <c r="V626" s="146">
        <f>M620/G620-1</f>
        <v>0.125</v>
      </c>
      <c r="W626" s="144">
        <f>'Table A(GRC+REC)'!W52</f>
        <v>-33605.646299312328</v>
      </c>
      <c r="X626" s="45">
        <f t="shared" si="230"/>
        <v>0.10115044247787619</v>
      </c>
      <c r="Y626" s="28"/>
    </row>
    <row r="627" spans="1:26">
      <c r="A627" s="40" t="s">
        <v>68</v>
      </c>
      <c r="C627" s="407">
        <f t="shared" si="228"/>
        <v>347630492.51649153</v>
      </c>
      <c r="E627" s="407">
        <f t="shared" si="229"/>
        <v>377217615.24375314</v>
      </c>
      <c r="G627" s="425">
        <v>5.0688000000000004</v>
      </c>
      <c r="H627" s="424" t="s">
        <v>17</v>
      </c>
      <c r="I627" s="421">
        <f>ROUND($G627*C627/100,0)</f>
        <v>17620694</v>
      </c>
      <c r="K627" s="421">
        <f>ROUND($G627*E627/100,0)</f>
        <v>19120406</v>
      </c>
      <c r="M627" s="62">
        <f>ROUND((V621-SUM(O620:O626,O628,O87:O93,O95))/(E94+E627)*100,4)+V627</f>
        <v>5.5771999999999995</v>
      </c>
      <c r="N627" s="48" t="s">
        <v>17</v>
      </c>
      <c r="O627" s="28">
        <f>ROUND(M627*$E627/100,0)</f>
        <v>21038181</v>
      </c>
      <c r="Q627" s="137">
        <f t="shared" si="232"/>
        <v>-2.64E-2</v>
      </c>
      <c r="R627" s="42"/>
      <c r="S627" s="28">
        <f t="shared" si="233"/>
        <v>-386503.08633863012</v>
      </c>
      <c r="T627" s="79"/>
      <c r="U627" s="238" t="s">
        <v>279</v>
      </c>
      <c r="V627" s="239">
        <v>5.0000000000000001E-4</v>
      </c>
      <c r="W627" s="142" t="s">
        <v>81</v>
      </c>
      <c r="X627" s="45">
        <f t="shared" si="230"/>
        <v>0.10029987373737348</v>
      </c>
      <c r="Y627" s="28"/>
    </row>
    <row r="628" spans="1:26">
      <c r="A628" s="40" t="s">
        <v>69</v>
      </c>
      <c r="C628" s="407">
        <f t="shared" si="228"/>
        <v>0</v>
      </c>
      <c r="E628" s="407">
        <f t="shared" si="229"/>
        <v>0</v>
      </c>
      <c r="G628" s="237">
        <v>96</v>
      </c>
      <c r="H628" s="420"/>
      <c r="I628" s="421">
        <f>ROUND($G628*C628,0)</f>
        <v>0</v>
      </c>
      <c r="K628" s="421">
        <f>ROUND($G628*E628,0)</f>
        <v>0</v>
      </c>
      <c r="M628" s="41">
        <f>M620*12</f>
        <v>108</v>
      </c>
      <c r="N628" s="100"/>
      <c r="O628" s="28">
        <f>ROUND(M628*$E628,0)</f>
        <v>0</v>
      </c>
      <c r="Q628" s="83"/>
      <c r="R628" s="100"/>
      <c r="S628" s="28"/>
      <c r="T628" s="79"/>
      <c r="U628" s="238" t="s">
        <v>280</v>
      </c>
      <c r="V628" s="239">
        <v>0</v>
      </c>
      <c r="W628" s="144">
        <f>Stipulation!H25</f>
        <v>-33600.000000000007</v>
      </c>
      <c r="X628" s="45">
        <f t="shared" si="230"/>
        <v>0.125</v>
      </c>
      <c r="Y628"/>
    </row>
    <row r="629" spans="1:26">
      <c r="A629" s="40" t="s">
        <v>41</v>
      </c>
      <c r="C629" s="428">
        <f t="shared" si="228"/>
        <v>3843110</v>
      </c>
      <c r="E629" s="428">
        <f t="shared" si="229"/>
        <v>0</v>
      </c>
      <c r="I629" s="429">
        <f>I644+I659+I674</f>
        <v>502046</v>
      </c>
      <c r="K629" s="429">
        <f>K644+K659+K674</f>
        <v>0</v>
      </c>
      <c r="M629" s="15"/>
      <c r="O629" s="89">
        <f>O644+O659+O674</f>
        <v>0</v>
      </c>
      <c r="Q629" s="141"/>
      <c r="S629" s="89"/>
      <c r="U629" s="69" t="s">
        <v>281</v>
      </c>
      <c r="V629" s="56">
        <f>'Table A(GRC+REC)'!Q52</f>
        <v>116999.79773154117</v>
      </c>
      <c r="W629" s="147" t="s">
        <v>44</v>
      </c>
    </row>
    <row r="630" spans="1:26" ht="16.5" thickBot="1">
      <c r="A630" s="40" t="s">
        <v>43</v>
      </c>
      <c r="C630" s="441">
        <f t="shared" si="228"/>
        <v>1306554930.3012152</v>
      </c>
      <c r="E630" s="441">
        <f t="shared" si="229"/>
        <v>1413674151.2437532</v>
      </c>
      <c r="G630" s="439"/>
      <c r="I630" s="440">
        <f>SUM(I620:I629)</f>
        <v>108806071</v>
      </c>
      <c r="K630" s="440">
        <f>SUM(K620:K629)</f>
        <v>117423936</v>
      </c>
      <c r="M630" s="113"/>
      <c r="O630" s="114">
        <f>SUM(O620:O629)</f>
        <v>129478740</v>
      </c>
      <c r="Q630" s="143"/>
      <c r="S630" s="114">
        <f>SUM(S620:S629)</f>
        <v>-2220251.6254027397</v>
      </c>
      <c r="U630" s="74" t="s">
        <v>22</v>
      </c>
      <c r="V630" s="57">
        <f>Stipulation!E25</f>
        <v>117000.00000000001</v>
      </c>
      <c r="W630" s="148">
        <v>-2.0000000000000001E-4</v>
      </c>
    </row>
    <row r="631" spans="1:26" ht="16.5" thickTop="1">
      <c r="A631" s="40" t="s">
        <v>45</v>
      </c>
      <c r="C631" s="407"/>
      <c r="E631" s="407"/>
      <c r="G631" s="433"/>
      <c r="H631" s="434"/>
      <c r="I631" s="429">
        <v>4366512.4729000004</v>
      </c>
      <c r="K631" s="429">
        <f>I631</f>
        <v>4366512.4729000004</v>
      </c>
      <c r="M631" s="36"/>
      <c r="N631" s="99"/>
      <c r="O631" s="89">
        <v>0</v>
      </c>
      <c r="Q631" s="36"/>
      <c r="R631" s="99"/>
      <c r="S631" s="89"/>
      <c r="T631" s="28"/>
      <c r="U631" s="91" t="s">
        <v>48</v>
      </c>
      <c r="V631" s="146">
        <f>(O630+O631+O97+O98)/(K630+K631+K97+K98)-1</f>
        <v>6.3126392124728481E-2</v>
      </c>
    </row>
    <row r="632" spans="1:26">
      <c r="A632" s="40" t="s">
        <v>46</v>
      </c>
      <c r="C632" s="407"/>
      <c r="E632" s="407"/>
      <c r="G632" s="433">
        <f>M632</f>
        <v>3.95E-2</v>
      </c>
      <c r="H632" s="434"/>
      <c r="I632" s="429">
        <f>ROUND(SUM(I621:I627,I631)*$G632,0)</f>
        <v>4168130</v>
      </c>
      <c r="K632" s="429">
        <f>ROUND(SUM(K621:K627,K631)*$G632,0)</f>
        <v>4507733</v>
      </c>
      <c r="M632" s="136">
        <v>3.95E-2</v>
      </c>
      <c r="N632" s="99"/>
      <c r="O632" s="89">
        <f>ROUND(SUM(O621:O627,O631)*M632,0)</f>
        <v>4773547</v>
      </c>
      <c r="Q632" s="136"/>
      <c r="R632" s="99"/>
      <c r="S632" s="89"/>
      <c r="T632" s="28"/>
    </row>
    <row r="633" spans="1:26">
      <c r="C633" s="407"/>
      <c r="E633" s="407"/>
      <c r="T633" s="28"/>
    </row>
    <row r="634" spans="1:26">
      <c r="A634" s="37" t="s">
        <v>282</v>
      </c>
      <c r="C634" s="407"/>
      <c r="E634" s="407"/>
      <c r="T634" s="28"/>
    </row>
    <row r="635" spans="1:26">
      <c r="A635" s="40" t="s">
        <v>13</v>
      </c>
      <c r="C635" s="407">
        <v>849081.84813115129</v>
      </c>
      <c r="E635" s="422">
        <v>916400</v>
      </c>
      <c r="G635" s="445">
        <v>8</v>
      </c>
      <c r="H635" s="426"/>
      <c r="I635" s="421">
        <f>ROUND($G635*C635,0)</f>
        <v>6792655</v>
      </c>
      <c r="K635" s="421">
        <f>ROUND($G635*E635,0)</f>
        <v>7331200</v>
      </c>
      <c r="M635" s="133">
        <f t="shared" ref="M635:M643" si="235">M620</f>
        <v>9</v>
      </c>
      <c r="N635" s="132"/>
      <c r="O635" s="28">
        <f>ROUND(M635*$E635,0)</f>
        <v>8247600</v>
      </c>
      <c r="Q635" s="130"/>
      <c r="R635" s="132"/>
      <c r="S635" s="28"/>
      <c r="T635" s="28"/>
      <c r="U635" s="134"/>
      <c r="X635" s="45">
        <f t="shared" ref="X635:X643" si="236">M635/G635-1</f>
        <v>0.125</v>
      </c>
    </row>
    <row r="636" spans="1:26">
      <c r="A636" s="40" t="s">
        <v>62</v>
      </c>
      <c r="C636" s="407">
        <v>342333.48953923275</v>
      </c>
      <c r="E636" s="422">
        <f>ROUND(E$645*C636/C$645,0)</f>
        <v>371021</v>
      </c>
      <c r="G636" s="445">
        <v>7.25</v>
      </c>
      <c r="H636" s="426"/>
      <c r="I636" s="421">
        <f>ROUND($G636*C636,0)</f>
        <v>2481918</v>
      </c>
      <c r="K636" s="421">
        <f>ROUND($G636*E636,0)</f>
        <v>2689902</v>
      </c>
      <c r="M636" s="133">
        <f t="shared" si="235"/>
        <v>8</v>
      </c>
      <c r="N636" s="132"/>
      <c r="O636" s="28">
        <f>ROUND(M636*$E636,0)</f>
        <v>2968168</v>
      </c>
      <c r="Q636" s="130">
        <f t="shared" ref="Q636:Q642" si="237">Q621</f>
        <v>-2.64E-2</v>
      </c>
      <c r="R636" s="132"/>
      <c r="S636" s="28">
        <f t="shared" ref="S636:S637" si="238">O636*Q636*254/365</f>
        <v>-54529.718741917815</v>
      </c>
      <c r="T636" s="28"/>
      <c r="U636" s="101"/>
      <c r="X636" s="45">
        <f t="shared" si="236"/>
        <v>0.10344827586206895</v>
      </c>
    </row>
    <row r="637" spans="1:26">
      <c r="A637" s="40" t="s">
        <v>63</v>
      </c>
      <c r="C637" s="407">
        <v>324351.0165061921</v>
      </c>
      <c r="E637" s="422">
        <f>ROUND(E$645*C637/C$645,0)</f>
        <v>351532</v>
      </c>
      <c r="G637" s="445">
        <v>7.3</v>
      </c>
      <c r="H637" s="426"/>
      <c r="I637" s="421">
        <f>ROUND($G637*C637,0)</f>
        <v>2367762</v>
      </c>
      <c r="K637" s="421">
        <f>ROUND($G637*E637,0)</f>
        <v>2566184</v>
      </c>
      <c r="M637" s="133">
        <f t="shared" si="235"/>
        <v>8.0500000000000007</v>
      </c>
      <c r="N637" s="132"/>
      <c r="O637" s="28">
        <f>ROUND(M637*$E637,0)</f>
        <v>2829833</v>
      </c>
      <c r="Q637" s="130">
        <f t="shared" si="237"/>
        <v>-2.64E-2</v>
      </c>
      <c r="R637" s="132"/>
      <c r="S637" s="28">
        <f t="shared" si="238"/>
        <v>-51988.296341917805</v>
      </c>
      <c r="T637" s="28"/>
      <c r="U637" s="101"/>
      <c r="X637" s="45">
        <f t="shared" si="236"/>
        <v>0.10273972602739745</v>
      </c>
    </row>
    <row r="638" spans="1:26">
      <c r="A638" s="40" t="s">
        <v>64</v>
      </c>
      <c r="C638" s="407">
        <v>3426.21501925546</v>
      </c>
      <c r="E638" s="422">
        <f>ROUND(E$645*C638/C$645,0)</f>
        <v>3713</v>
      </c>
      <c r="G638" s="445">
        <v>-0.41</v>
      </c>
      <c r="H638" s="426"/>
      <c r="I638" s="421">
        <f>ROUND($G638*C638,0)</f>
        <v>-1405</v>
      </c>
      <c r="K638" s="421">
        <f>ROUND($G638*E638,0)</f>
        <v>-1522</v>
      </c>
      <c r="M638" s="133">
        <f t="shared" si="235"/>
        <v>-0.45</v>
      </c>
      <c r="N638" s="132"/>
      <c r="O638" s="28">
        <f>ROUND(M638*$E638,0)</f>
        <v>-1671</v>
      </c>
      <c r="Q638" s="130"/>
      <c r="R638" s="132"/>
      <c r="S638" s="28"/>
      <c r="T638" s="28"/>
      <c r="U638" s="101"/>
      <c r="X638" s="45">
        <f t="shared" si="236"/>
        <v>9.7560975609756184E-2</v>
      </c>
    </row>
    <row r="639" spans="1:26">
      <c r="A639" s="40" t="s">
        <v>65</v>
      </c>
      <c r="C639" s="407">
        <v>263977829.40885901</v>
      </c>
      <c r="E639" s="422">
        <f>ROUND(E$645*C639/SUM(C$639:C$642),0)</f>
        <v>286934851</v>
      </c>
      <c r="G639" s="444">
        <v>9.8214000000000006</v>
      </c>
      <c r="H639" s="424" t="s">
        <v>17</v>
      </c>
      <c r="I639" s="421">
        <f>ROUND($G639*C639/100,0)</f>
        <v>25926319</v>
      </c>
      <c r="K639" s="421">
        <f>ROUND($G639*E639/100,0)</f>
        <v>28181019</v>
      </c>
      <c r="M639" s="129">
        <f t="shared" si="235"/>
        <v>10.8148</v>
      </c>
      <c r="N639" s="48" t="s">
        <v>17</v>
      </c>
      <c r="O639" s="28">
        <f>ROUND(M639*$E639/100,0)</f>
        <v>31031430</v>
      </c>
      <c r="Q639" s="130">
        <f t="shared" si="237"/>
        <v>-2.64E-2</v>
      </c>
      <c r="R639" s="48"/>
      <c r="S639" s="28">
        <f t="shared" ref="S639:S642" si="239">O639*Q639*254/365</f>
        <v>-570094.12878904107</v>
      </c>
      <c r="T639" s="28"/>
      <c r="V639" s="135"/>
      <c r="W639"/>
      <c r="X639" s="45">
        <f t="shared" si="236"/>
        <v>0.10114647606247584</v>
      </c>
    </row>
    <row r="640" spans="1:26">
      <c r="A640" s="40" t="s">
        <v>66</v>
      </c>
      <c r="C640" s="407">
        <v>273461565.14760274</v>
      </c>
      <c r="E640" s="422">
        <f>ROUND(E$645*C640/SUM(C$639:C$642),0)</f>
        <v>297243347</v>
      </c>
      <c r="G640" s="444">
        <v>5.5063000000000004</v>
      </c>
      <c r="H640" s="424" t="s">
        <v>17</v>
      </c>
      <c r="I640" s="421">
        <f>ROUND($G640*C640/100,0)</f>
        <v>15057614</v>
      </c>
      <c r="K640" s="421">
        <f>ROUND($G640*E640/100,0)</f>
        <v>16367110</v>
      </c>
      <c r="M640" s="129">
        <f t="shared" si="235"/>
        <v>6.0632000000000001</v>
      </c>
      <c r="N640" s="48" t="s">
        <v>17</v>
      </c>
      <c r="O640" s="28">
        <f>ROUND(M640*$E640/100,0)</f>
        <v>18022459</v>
      </c>
      <c r="Q640" s="130">
        <f t="shared" si="237"/>
        <v>-2.64E-2</v>
      </c>
      <c r="R640" s="48"/>
      <c r="S640" s="28">
        <f t="shared" si="239"/>
        <v>-331099.72895999998</v>
      </c>
      <c r="T640" s="79"/>
      <c r="U640" s="101"/>
      <c r="V640" s="135"/>
      <c r="X640" s="45">
        <f t="shared" si="236"/>
        <v>0.1011386956758622</v>
      </c>
    </row>
    <row r="641" spans="1:26">
      <c r="A641" s="40" t="s">
        <v>67</v>
      </c>
      <c r="C641" s="407">
        <v>373642062.16448581</v>
      </c>
      <c r="E641" s="422">
        <f>ROUND(E$645*C641/SUM(C$639:C$642),0)</f>
        <v>406136113</v>
      </c>
      <c r="G641" s="444">
        <v>9.0399999999999991</v>
      </c>
      <c r="H641" s="424" t="s">
        <v>17</v>
      </c>
      <c r="I641" s="421">
        <f>ROUND($G641*C641/100,0)</f>
        <v>33777242</v>
      </c>
      <c r="K641" s="421">
        <f>ROUND($G641*E641/100,0)</f>
        <v>36714705</v>
      </c>
      <c r="M641" s="129">
        <f t="shared" si="235"/>
        <v>9.9543999999999997</v>
      </c>
      <c r="N641" s="48" t="s">
        <v>17</v>
      </c>
      <c r="O641" s="28">
        <f>ROUND(M641*$E641/100,0)</f>
        <v>40428413</v>
      </c>
      <c r="Q641" s="130">
        <f t="shared" si="237"/>
        <v>-2.64E-2</v>
      </c>
      <c r="R641" s="48"/>
      <c r="S641" s="28">
        <f t="shared" si="239"/>
        <v>-742730.86633643846</v>
      </c>
      <c r="T641" s="79"/>
      <c r="V641" s="135"/>
      <c r="X641" s="45">
        <f t="shared" si="236"/>
        <v>0.10115044247787619</v>
      </c>
      <c r="Y641"/>
    </row>
    <row r="642" spans="1:26">
      <c r="A642" s="40" t="s">
        <v>68</v>
      </c>
      <c r="C642" s="407">
        <v>330756967.51649153</v>
      </c>
      <c r="E642" s="422">
        <f>E645-SUM(E639:E641)</f>
        <v>359521485</v>
      </c>
      <c r="G642" s="444">
        <v>5.0688000000000004</v>
      </c>
      <c r="H642" s="424" t="s">
        <v>17</v>
      </c>
      <c r="I642" s="421">
        <f>ROUND($G642*C642/100,0)</f>
        <v>16765409</v>
      </c>
      <c r="K642" s="421">
        <f>ROUND($G642*E642/100,0)</f>
        <v>18223425</v>
      </c>
      <c r="M642" s="129">
        <f t="shared" si="235"/>
        <v>5.5771999999999995</v>
      </c>
      <c r="N642" s="48" t="s">
        <v>17</v>
      </c>
      <c r="O642" s="28">
        <f>ROUND(M642*$E642/100,0)</f>
        <v>20051232</v>
      </c>
      <c r="Q642" s="130">
        <f t="shared" si="237"/>
        <v>-2.64E-2</v>
      </c>
      <c r="R642" s="48"/>
      <c r="S642" s="28">
        <f t="shared" si="239"/>
        <v>-368371.34602520545</v>
      </c>
      <c r="T642" s="79"/>
      <c r="V642" s="135"/>
      <c r="X642" s="45">
        <f t="shared" si="236"/>
        <v>0.10029987373737348</v>
      </c>
    </row>
    <row r="643" spans="1:26">
      <c r="A643" s="40" t="s">
        <v>69</v>
      </c>
      <c r="C643" s="407">
        <v>0</v>
      </c>
      <c r="E643" s="422">
        <f>ROUND(C643*E635/C635,0)</f>
        <v>0</v>
      </c>
      <c r="G643" s="445">
        <v>96</v>
      </c>
      <c r="H643" s="426"/>
      <c r="I643" s="421">
        <f>ROUND($G643*C643,0)</f>
        <v>0</v>
      </c>
      <c r="K643" s="421">
        <f>ROUND($G643*E643,0)</f>
        <v>0</v>
      </c>
      <c r="M643" s="133">
        <f t="shared" si="235"/>
        <v>108</v>
      </c>
      <c r="N643" s="132"/>
      <c r="O643" s="28">
        <f>ROUND(M643*$E643,0)</f>
        <v>0</v>
      </c>
      <c r="Q643" s="130"/>
      <c r="R643" s="132"/>
      <c r="S643" s="28"/>
      <c r="T643" s="79"/>
      <c r="X643" s="45">
        <f t="shared" si="236"/>
        <v>0.125</v>
      </c>
      <c r="Z643"/>
    </row>
    <row r="644" spans="1:26">
      <c r="A644" s="40" t="s">
        <v>41</v>
      </c>
      <c r="C644" s="428">
        <v>3627759</v>
      </c>
      <c r="E644" s="428">
        <v>0</v>
      </c>
      <c r="I644" s="429">
        <v>490891</v>
      </c>
      <c r="K644" s="429">
        <v>0</v>
      </c>
      <c r="O644" s="89">
        <v>0</v>
      </c>
      <c r="S644" s="89"/>
    </row>
    <row r="645" spans="1:26" ht="16.5" thickBot="1">
      <c r="A645" s="40" t="s">
        <v>43</v>
      </c>
      <c r="C645" s="441">
        <f>SUM(C639:C642,C644)</f>
        <v>1245466183.2374392</v>
      </c>
      <c r="E645" s="441">
        <v>1349835796</v>
      </c>
      <c r="G645" s="439"/>
      <c r="I645" s="440">
        <f>SUM(I635:I644)</f>
        <v>103658405</v>
      </c>
      <c r="K645" s="440">
        <f>SUM(K635:K644)</f>
        <v>112072023</v>
      </c>
      <c r="M645" s="115"/>
      <c r="O645" s="114">
        <f>SUM(O635:O644)</f>
        <v>123577464</v>
      </c>
      <c r="Q645" s="116"/>
      <c r="S645" s="114">
        <f>SUM(S635:S644)</f>
        <v>-2118814.0851945207</v>
      </c>
      <c r="U645" s="27" t="s">
        <v>26</v>
      </c>
      <c r="V645" s="108">
        <f>O645/K645-1</f>
        <v>0.10266113426006407</v>
      </c>
    </row>
    <row r="646" spans="1:26" ht="16.5" thickTop="1">
      <c r="A646" s="40" t="s">
        <v>45</v>
      </c>
      <c r="C646" s="407"/>
      <c r="E646" s="446"/>
      <c r="G646" s="433"/>
      <c r="H646" s="434"/>
      <c r="I646" s="429">
        <f>ROUND($I$631*I645/$I$630,0)</f>
        <v>4159931</v>
      </c>
      <c r="K646" s="429">
        <f>I646</f>
        <v>4159931</v>
      </c>
      <c r="M646" s="36"/>
      <c r="N646" s="99"/>
      <c r="O646" s="89">
        <v>0</v>
      </c>
      <c r="Q646" s="36"/>
      <c r="R646" s="99"/>
      <c r="S646" s="89"/>
      <c r="T646" s="28"/>
      <c r="U646" s="15" t="s">
        <v>48</v>
      </c>
      <c r="V646" s="123">
        <f>(O645+O646)/(K645+K646)-1</f>
        <v>6.319699314355498E-2</v>
      </c>
    </row>
    <row r="647" spans="1:26">
      <c r="A647" s="40" t="s">
        <v>46</v>
      </c>
      <c r="C647" s="407"/>
      <c r="E647" s="446"/>
      <c r="G647" s="433">
        <f>M647</f>
        <v>3.95E-2</v>
      </c>
      <c r="H647" s="434"/>
      <c r="I647" s="429">
        <f>ROUND(SUM(I636:I642,I646)*$G647,0)</f>
        <v>3971124</v>
      </c>
      <c r="K647" s="429">
        <f>ROUND(SUM(K636:K642,K646)*$G647,0)</f>
        <v>4301580</v>
      </c>
      <c r="M647" s="119">
        <f>M632</f>
        <v>3.95E-2</v>
      </c>
      <c r="N647" s="118"/>
      <c r="O647" s="89">
        <f>ROUND(SUM(O636:O642,O646)*M647,0)</f>
        <v>4555530</v>
      </c>
      <c r="Q647" s="119"/>
      <c r="R647" s="118"/>
      <c r="S647" s="89"/>
      <c r="T647" s="28"/>
      <c r="V647"/>
    </row>
    <row r="648" spans="1:26">
      <c r="C648" s="407"/>
      <c r="E648" s="407"/>
      <c r="T648" s="28"/>
    </row>
    <row r="649" spans="1:26">
      <c r="A649" s="37" t="s">
        <v>283</v>
      </c>
      <c r="C649" s="407"/>
      <c r="E649" s="407"/>
      <c r="T649" s="28"/>
    </row>
    <row r="650" spans="1:26">
      <c r="A650" s="40" t="s">
        <v>13</v>
      </c>
      <c r="C650" s="407">
        <v>44412.984583333171</v>
      </c>
      <c r="E650" s="422">
        <v>42393</v>
      </c>
      <c r="G650" s="445">
        <v>8</v>
      </c>
      <c r="H650" s="426"/>
      <c r="I650" s="421">
        <f>ROUND($G650*C650,0)</f>
        <v>355304</v>
      </c>
      <c r="K650" s="421">
        <f>ROUND($G650*E650,0)</f>
        <v>339144</v>
      </c>
      <c r="M650" s="133">
        <f t="shared" ref="M650:M658" si="240">M620</f>
        <v>9</v>
      </c>
      <c r="N650" s="132"/>
      <c r="O650" s="28">
        <f>ROUND(M650*$E650,0)</f>
        <v>381537</v>
      </c>
      <c r="Q650" s="130"/>
      <c r="R650" s="132"/>
      <c r="S650" s="28"/>
      <c r="T650" s="28"/>
      <c r="X650" s="45">
        <f t="shared" ref="X650:X658" si="241">M650/G650-1</f>
        <v>0.125</v>
      </c>
    </row>
    <row r="651" spans="1:26">
      <c r="A651" s="40" t="s">
        <v>62</v>
      </c>
      <c r="C651" s="407">
        <v>22219.262523658155</v>
      </c>
      <c r="E651" s="422">
        <f>ROUND(C651*$E$660/$C$660,0)</f>
        <v>23220</v>
      </c>
      <c r="G651" s="445">
        <v>7.25</v>
      </c>
      <c r="H651" s="426"/>
      <c r="I651" s="421">
        <f>ROUND($G651*C651,0)</f>
        <v>161090</v>
      </c>
      <c r="K651" s="421">
        <f>ROUND($G651*E651,0)</f>
        <v>168345</v>
      </c>
      <c r="M651" s="133">
        <f t="shared" si="240"/>
        <v>8</v>
      </c>
      <c r="N651" s="132"/>
      <c r="O651" s="28">
        <f>ROUND(M651*$E651,0)</f>
        <v>185760</v>
      </c>
      <c r="Q651" s="130">
        <f t="shared" ref="Q651:Q657" si="242">Q621</f>
        <v>-2.64E-2</v>
      </c>
      <c r="R651" s="132"/>
      <c r="S651" s="28">
        <f t="shared" ref="S651:S652" si="243">O651*Q651*254/365</f>
        <v>-3412.6911123287673</v>
      </c>
      <c r="T651" s="28"/>
      <c r="X651" s="45">
        <f t="shared" si="241"/>
        <v>0.10344827586206895</v>
      </c>
    </row>
    <row r="652" spans="1:26">
      <c r="A652" s="40" t="s">
        <v>63</v>
      </c>
      <c r="C652" s="407">
        <v>25096.9133425035</v>
      </c>
      <c r="E652" s="422">
        <f>ROUND(C652*$E$660/$C$660,0)</f>
        <v>26228</v>
      </c>
      <c r="G652" s="445">
        <v>7.3</v>
      </c>
      <c r="H652" s="426"/>
      <c r="I652" s="421">
        <f>ROUND($G652*C652,0)</f>
        <v>183207</v>
      </c>
      <c r="K652" s="421">
        <f>ROUND($G652*E652,0)</f>
        <v>191464</v>
      </c>
      <c r="M652" s="133">
        <f t="shared" si="240"/>
        <v>8.0500000000000007</v>
      </c>
      <c r="N652" s="132"/>
      <c r="O652" s="28">
        <f>ROUND(M652*$E652,0)</f>
        <v>211135</v>
      </c>
      <c r="Q652" s="130">
        <f t="shared" si="242"/>
        <v>-2.64E-2</v>
      </c>
      <c r="R652" s="132"/>
      <c r="S652" s="28">
        <f t="shared" si="243"/>
        <v>-3878.868098630137</v>
      </c>
      <c r="T652" s="28"/>
      <c r="X652" s="45">
        <f t="shared" si="241"/>
        <v>0.10273972602739745</v>
      </c>
    </row>
    <row r="653" spans="1:26">
      <c r="A653" s="40" t="s">
        <v>64</v>
      </c>
      <c r="C653" s="407">
        <v>4348.0526315789502</v>
      </c>
      <c r="E653" s="422">
        <f>ROUND(C653*$E$660/$C$660,0)</f>
        <v>4544</v>
      </c>
      <c r="G653" s="445">
        <v>-0.41</v>
      </c>
      <c r="H653" s="426"/>
      <c r="I653" s="421">
        <f>ROUND($G653*C653,0)</f>
        <v>-1783</v>
      </c>
      <c r="K653" s="421">
        <f>ROUND($G653*E653,0)</f>
        <v>-1863</v>
      </c>
      <c r="M653" s="133">
        <f t="shared" si="240"/>
        <v>-0.45</v>
      </c>
      <c r="N653" s="132"/>
      <c r="O653" s="28">
        <f>ROUND(M653*$E653,0)</f>
        <v>-2045</v>
      </c>
      <c r="Q653" s="130"/>
      <c r="R653" s="132"/>
      <c r="S653" s="28"/>
      <c r="T653" s="28"/>
      <c r="X653" s="45">
        <f t="shared" si="241"/>
        <v>9.7560975609756184E-2</v>
      </c>
    </row>
    <row r="654" spans="1:26">
      <c r="A654" s="40" t="s">
        <v>65</v>
      </c>
      <c r="C654" s="407">
        <v>12184944.063776063</v>
      </c>
      <c r="E654" s="422">
        <f>ROUND(C654*($E$660-$E$659)/($C$660-$C$659),0)</f>
        <v>12779044</v>
      </c>
      <c r="G654" s="447">
        <v>9.8214000000000006</v>
      </c>
      <c r="H654" s="424" t="s">
        <v>17</v>
      </c>
      <c r="I654" s="421">
        <f>ROUND($G654*C654/100,0)</f>
        <v>1196732</v>
      </c>
      <c r="K654" s="421">
        <f>ROUND($G654*E654/100,0)</f>
        <v>1255081</v>
      </c>
      <c r="M654" s="157">
        <f t="shared" si="240"/>
        <v>10.8148</v>
      </c>
      <c r="N654" s="48" t="s">
        <v>17</v>
      </c>
      <c r="O654" s="28">
        <f>ROUND(M654*$E654/100,0)</f>
        <v>1382028</v>
      </c>
      <c r="Q654" s="130">
        <f t="shared" si="242"/>
        <v>-2.64E-2</v>
      </c>
      <c r="R654" s="48"/>
      <c r="S654" s="28">
        <f t="shared" ref="S654:S657" si="244">O654*Q654*254/365</f>
        <v>-25389.936867945202</v>
      </c>
      <c r="T654" s="28"/>
      <c r="W654"/>
      <c r="X654" s="45">
        <f t="shared" si="241"/>
        <v>0.10114647606247584</v>
      </c>
    </row>
    <row r="655" spans="1:26">
      <c r="A655" s="40" t="s">
        <v>66</v>
      </c>
      <c r="C655" s="407">
        <v>13858241</v>
      </c>
      <c r="E655" s="422">
        <f>ROUND(C655*($E$660-$E$659)/($C$660-$C$659),0)</f>
        <v>14533926</v>
      </c>
      <c r="G655" s="447">
        <v>5.5063000000000004</v>
      </c>
      <c r="H655" s="424" t="s">
        <v>17</v>
      </c>
      <c r="I655" s="421">
        <f>ROUND($G655*C655/100,0)</f>
        <v>763076</v>
      </c>
      <c r="K655" s="421">
        <f>ROUND($G655*E655/100,0)</f>
        <v>800282</v>
      </c>
      <c r="M655" s="157">
        <f t="shared" si="240"/>
        <v>6.0632000000000001</v>
      </c>
      <c r="N655" s="48" t="s">
        <v>17</v>
      </c>
      <c r="O655" s="28">
        <f>ROUND(M655*$E655/100,0)</f>
        <v>881221</v>
      </c>
      <c r="Q655" s="130">
        <f t="shared" si="242"/>
        <v>-2.64E-2</v>
      </c>
      <c r="R655" s="48"/>
      <c r="S655" s="28">
        <f t="shared" si="244"/>
        <v>-16189.357637260275</v>
      </c>
      <c r="T655" s="79"/>
      <c r="X655" s="45">
        <f t="shared" si="241"/>
        <v>0.1011386956758622</v>
      </c>
    </row>
    <row r="656" spans="1:26">
      <c r="A656" s="40" t="s">
        <v>67</v>
      </c>
      <c r="C656" s="407">
        <v>17929087</v>
      </c>
      <c r="E656" s="422">
        <f>ROUND(C656*($E$660-$E$659)/($C$660-$C$659),0)</f>
        <v>18803253</v>
      </c>
      <c r="G656" s="447">
        <v>9.0399999999999991</v>
      </c>
      <c r="H656" s="424" t="s">
        <v>17</v>
      </c>
      <c r="I656" s="421">
        <f>ROUND($G656*C656/100,0)</f>
        <v>1620789</v>
      </c>
      <c r="K656" s="421">
        <f>ROUND($G656*E656/100,0)</f>
        <v>1699814</v>
      </c>
      <c r="M656" s="157">
        <f t="shared" si="240"/>
        <v>9.9543999999999997</v>
      </c>
      <c r="N656" s="48" t="s">
        <v>17</v>
      </c>
      <c r="O656" s="28">
        <f>ROUND(M656*$E656/100,0)</f>
        <v>1871751</v>
      </c>
      <c r="Q656" s="130">
        <f t="shared" si="242"/>
        <v>-2.64E-2</v>
      </c>
      <c r="R656" s="48"/>
      <c r="S656" s="28">
        <f t="shared" si="244"/>
        <v>-34386.886316712327</v>
      </c>
      <c r="T656" s="79"/>
      <c r="X656" s="45">
        <f t="shared" si="241"/>
        <v>0.10115044247787619</v>
      </c>
      <c r="Y656"/>
    </row>
    <row r="657" spans="1:26">
      <c r="A657" s="40" t="s">
        <v>68</v>
      </c>
      <c r="C657" s="407">
        <v>16872636</v>
      </c>
      <c r="E657" s="422">
        <f>E660-E654-E655-E656</f>
        <v>17695293</v>
      </c>
      <c r="G657" s="447">
        <v>5.0688000000000004</v>
      </c>
      <c r="H657" s="424" t="s">
        <v>17</v>
      </c>
      <c r="I657" s="421">
        <f>ROUND($G657*C657/100,0)</f>
        <v>855240</v>
      </c>
      <c r="K657" s="421">
        <f>ROUND($G657*E657/100,0)</f>
        <v>896939</v>
      </c>
      <c r="M657" s="157">
        <f t="shared" si="240"/>
        <v>5.5771999999999995</v>
      </c>
      <c r="N657" s="48" t="s">
        <v>17</v>
      </c>
      <c r="O657" s="28">
        <f>ROUND(M657*$E657/100,0)</f>
        <v>986902</v>
      </c>
      <c r="Q657" s="130">
        <f t="shared" si="242"/>
        <v>-2.64E-2</v>
      </c>
      <c r="R657" s="48"/>
      <c r="S657" s="28">
        <f t="shared" si="244"/>
        <v>-18130.876852602742</v>
      </c>
      <c r="T657" s="79"/>
      <c r="X657" s="45">
        <f t="shared" si="241"/>
        <v>0.10029987373737348</v>
      </c>
    </row>
    <row r="658" spans="1:26">
      <c r="A658" s="40" t="s">
        <v>69</v>
      </c>
      <c r="C658" s="407">
        <v>0</v>
      </c>
      <c r="E658" s="422">
        <f>ROUND(C658*E650/C650,0)</f>
        <v>0</v>
      </c>
      <c r="G658" s="445">
        <v>96</v>
      </c>
      <c r="H658" s="426"/>
      <c r="I658" s="421">
        <f>ROUND($G658*C658,0)</f>
        <v>0</v>
      </c>
      <c r="K658" s="421">
        <f>ROUND($G658*E658,0)</f>
        <v>0</v>
      </c>
      <c r="M658" s="133">
        <f t="shared" si="240"/>
        <v>108</v>
      </c>
      <c r="N658" s="132"/>
      <c r="O658" s="28">
        <f>ROUND(M658*$E658,0)</f>
        <v>0</v>
      </c>
      <c r="Q658" s="130"/>
      <c r="R658" s="132"/>
      <c r="S658" s="28"/>
      <c r="T658" s="79"/>
      <c r="X658" s="45">
        <f t="shared" si="241"/>
        <v>0.125</v>
      </c>
      <c r="Z658"/>
    </row>
    <row r="659" spans="1:26">
      <c r="A659" s="40" t="s">
        <v>41</v>
      </c>
      <c r="C659" s="428">
        <v>215415</v>
      </c>
      <c r="E659" s="428">
        <v>0</v>
      </c>
      <c r="I659" s="429">
        <v>11146</v>
      </c>
      <c r="K659" s="429">
        <v>0</v>
      </c>
      <c r="O659" s="89">
        <v>0</v>
      </c>
      <c r="S659" s="89"/>
    </row>
    <row r="660" spans="1:26" ht="16.5" thickBot="1">
      <c r="A660" s="40" t="s">
        <v>43</v>
      </c>
      <c r="C660" s="441">
        <f>SUM(C654:C657,C659)</f>
        <v>61060323.063776061</v>
      </c>
      <c r="E660" s="441">
        <v>63811516</v>
      </c>
      <c r="G660" s="439"/>
      <c r="I660" s="440">
        <f>SUM(I650:I659)</f>
        <v>5144801</v>
      </c>
      <c r="K660" s="440">
        <f>SUM(K650:K659)</f>
        <v>5349206</v>
      </c>
      <c r="M660" s="115"/>
      <c r="O660" s="114">
        <f>SUM(O650:O659)</f>
        <v>5898289</v>
      </c>
      <c r="Q660" s="116"/>
      <c r="S660" s="114">
        <f>SUM(S650:S659)</f>
        <v>-101388.61688547945</v>
      </c>
      <c r="U660" s="27" t="s">
        <v>26</v>
      </c>
      <c r="V660" s="108">
        <f>O660/K660-1</f>
        <v>0.102647570499248</v>
      </c>
    </row>
    <row r="661" spans="1:26" ht="16.5" thickTop="1">
      <c r="A661" s="40" t="s">
        <v>45</v>
      </c>
      <c r="C661" s="407"/>
      <c r="E661" s="407"/>
      <c r="G661" s="433"/>
      <c r="H661" s="434"/>
      <c r="I661" s="429">
        <f>ROUND($I$631*I660/$I$630,0)</f>
        <v>206467</v>
      </c>
      <c r="K661" s="429">
        <f>I661</f>
        <v>206467</v>
      </c>
      <c r="M661" s="36"/>
      <c r="N661" s="99"/>
      <c r="O661" s="89">
        <v>0</v>
      </c>
      <c r="Q661" s="36"/>
      <c r="R661" s="99"/>
      <c r="S661" s="89"/>
      <c r="T661" s="28"/>
      <c r="U661" s="15" t="s">
        <v>48</v>
      </c>
      <c r="V661" s="123">
        <f>(O660+O661)/(K660+K661)-1</f>
        <v>6.1669576305156903E-2</v>
      </c>
    </row>
    <row r="662" spans="1:26">
      <c r="A662" s="40" t="s">
        <v>46</v>
      </c>
      <c r="C662" s="407"/>
      <c r="E662" s="407"/>
      <c r="G662" s="433">
        <f>M662</f>
        <v>3.95E-2</v>
      </c>
      <c r="H662" s="434"/>
      <c r="I662" s="429">
        <f>ROUND(SUM(I651:I657,I661)*$G662,0)</f>
        <v>196900</v>
      </c>
      <c r="K662" s="429">
        <f>ROUND(SUM(K651:K657,K661)*$G662,0)</f>
        <v>206053</v>
      </c>
      <c r="M662" s="119">
        <f>M632</f>
        <v>3.95E-2</v>
      </c>
      <c r="N662" s="118"/>
      <c r="O662" s="89">
        <f>ROUND(SUM(O651:O657,O661)*M662,0)</f>
        <v>217912</v>
      </c>
      <c r="Q662" s="119"/>
      <c r="R662" s="118"/>
      <c r="S662" s="89"/>
      <c r="T662" s="28"/>
      <c r="V662"/>
    </row>
    <row r="663" spans="1:26">
      <c r="C663" s="407"/>
      <c r="E663" s="407"/>
      <c r="T663" s="28"/>
    </row>
    <row r="664" spans="1:26">
      <c r="A664" s="37" t="s">
        <v>284</v>
      </c>
      <c r="C664" s="407"/>
      <c r="E664" s="407"/>
      <c r="T664" s="28"/>
    </row>
    <row r="665" spans="1:26">
      <c r="A665" s="40" t="s">
        <v>13</v>
      </c>
      <c r="C665" s="407">
        <v>36.000416666666702</v>
      </c>
      <c r="E665" s="422">
        <v>36</v>
      </c>
      <c r="G665" s="445">
        <v>8</v>
      </c>
      <c r="H665" s="426"/>
      <c r="I665" s="421">
        <f>ROUND($G665*C665,0)</f>
        <v>288</v>
      </c>
      <c r="K665" s="421">
        <f>ROUND($G665*E665,0)</f>
        <v>288</v>
      </c>
      <c r="M665" s="133">
        <f t="shared" ref="M665:M673" si="245">M620</f>
        <v>9</v>
      </c>
      <c r="N665" s="132"/>
      <c r="O665" s="28">
        <f>ROUND(M665*$E665,0)</f>
        <v>324</v>
      </c>
      <c r="Q665" s="130"/>
      <c r="R665" s="132"/>
      <c r="S665" s="28"/>
      <c r="T665" s="28"/>
      <c r="X665" s="45">
        <f t="shared" ref="X665:X673" si="246">M665/G665-1</f>
        <v>0.125</v>
      </c>
    </row>
    <row r="666" spans="1:26">
      <c r="A666" s="40" t="s">
        <v>62</v>
      </c>
      <c r="C666" s="407">
        <v>0</v>
      </c>
      <c r="E666" s="422">
        <f>ROUND(C666*$E$675/$C$675,0)</f>
        <v>0</v>
      </c>
      <c r="G666" s="445">
        <v>7.25</v>
      </c>
      <c r="H666" s="426"/>
      <c r="I666" s="421">
        <f>ROUND($G666*C666,0)</f>
        <v>0</v>
      </c>
      <c r="K666" s="421">
        <f>ROUND($G666*E666,0)</f>
        <v>0</v>
      </c>
      <c r="M666" s="133">
        <f t="shared" si="245"/>
        <v>8</v>
      </c>
      <c r="N666" s="132"/>
      <c r="O666" s="28">
        <f>ROUND(M666*$E666,0)</f>
        <v>0</v>
      </c>
      <c r="Q666" s="130">
        <f t="shared" ref="Q666:Q672" si="247">Q621</f>
        <v>-2.64E-2</v>
      </c>
      <c r="R666" s="132"/>
      <c r="S666" s="28">
        <f t="shared" ref="S666:S672" si="248">O666*Q666*254/365</f>
        <v>0</v>
      </c>
      <c r="T666" s="28"/>
      <c r="X666" s="45">
        <f t="shared" si="246"/>
        <v>0.10344827586206895</v>
      </c>
    </row>
    <row r="667" spans="1:26">
      <c r="A667" s="40" t="s">
        <v>63</v>
      </c>
      <c r="C667" s="407">
        <v>0</v>
      </c>
      <c r="E667" s="422">
        <f>ROUND(C667*$E$675/$C$675,0)</f>
        <v>0</v>
      </c>
      <c r="G667" s="445">
        <v>7.3</v>
      </c>
      <c r="H667" s="426"/>
      <c r="I667" s="421">
        <f>ROUND($G667*C667,0)</f>
        <v>0</v>
      </c>
      <c r="K667" s="421">
        <f>ROUND($G667*E667,0)</f>
        <v>0</v>
      </c>
      <c r="M667" s="133">
        <f t="shared" si="245"/>
        <v>8.0500000000000007</v>
      </c>
      <c r="N667" s="132"/>
      <c r="O667" s="28">
        <f>ROUND(M667*$E667,0)</f>
        <v>0</v>
      </c>
      <c r="Q667" s="130">
        <f t="shared" si="247"/>
        <v>-2.64E-2</v>
      </c>
      <c r="R667" s="132"/>
      <c r="S667" s="28">
        <f t="shared" si="248"/>
        <v>0</v>
      </c>
      <c r="T667" s="28"/>
      <c r="X667" s="45">
        <f t="shared" si="246"/>
        <v>0.10273972602739745</v>
      </c>
    </row>
    <row r="668" spans="1:26">
      <c r="A668" s="40" t="s">
        <v>64</v>
      </c>
      <c r="C668" s="407">
        <v>0</v>
      </c>
      <c r="E668" s="422">
        <f>ROUND(C668*$E$675/$C$675,0)</f>
        <v>0</v>
      </c>
      <c r="G668" s="445">
        <v>-0.41</v>
      </c>
      <c r="H668" s="426"/>
      <c r="I668" s="421">
        <f>ROUND($G668*C668,0)</f>
        <v>0</v>
      </c>
      <c r="K668" s="421">
        <f>ROUND($G668*E668,0)</f>
        <v>0</v>
      </c>
      <c r="M668" s="133">
        <f t="shared" si="245"/>
        <v>-0.45</v>
      </c>
      <c r="N668" s="132"/>
      <c r="O668" s="28">
        <f>ROUND(M668*$E668,0)</f>
        <v>0</v>
      </c>
      <c r="Q668" s="130">
        <f t="shared" si="247"/>
        <v>0</v>
      </c>
      <c r="R668" s="132"/>
      <c r="S668" s="28">
        <f t="shared" si="248"/>
        <v>0</v>
      </c>
      <c r="T668" s="28"/>
      <c r="X668" s="45">
        <f t="shared" si="246"/>
        <v>9.7560975609756184E-2</v>
      </c>
    </row>
    <row r="669" spans="1:26">
      <c r="A669" s="40" t="s">
        <v>65</v>
      </c>
      <c r="C669" s="407">
        <v>9370</v>
      </c>
      <c r="E669" s="422">
        <f>ROUND(C669*($E$675-$E$674)/($C$675-$C$674),0)</f>
        <v>8828</v>
      </c>
      <c r="G669" s="444">
        <v>9.8214000000000006</v>
      </c>
      <c r="H669" s="424" t="s">
        <v>17</v>
      </c>
      <c r="I669" s="421">
        <f>ROUND($G669*C669/100,0)</f>
        <v>920</v>
      </c>
      <c r="K669" s="421">
        <f>ROUND($G669*E669/100,0)</f>
        <v>867</v>
      </c>
      <c r="M669" s="129">
        <f t="shared" si="245"/>
        <v>10.8148</v>
      </c>
      <c r="N669" s="48" t="s">
        <v>17</v>
      </c>
      <c r="O669" s="28">
        <f>ROUND(M669*$E669/100,0)</f>
        <v>955</v>
      </c>
      <c r="Q669" s="130">
        <f t="shared" si="247"/>
        <v>-2.64E-2</v>
      </c>
      <c r="R669" s="48"/>
      <c r="S669" s="28">
        <f t="shared" si="248"/>
        <v>-17.544789041095889</v>
      </c>
      <c r="T669" s="28"/>
      <c r="W669"/>
      <c r="X669" s="45">
        <f t="shared" si="246"/>
        <v>0.10114647606247584</v>
      </c>
    </row>
    <row r="670" spans="1:26">
      <c r="A670" s="40" t="s">
        <v>66</v>
      </c>
      <c r="C670" s="407">
        <v>1321</v>
      </c>
      <c r="E670" s="422">
        <f>ROUND(C670*($E$675-$E$674)/($C$675-$C$674),0)</f>
        <v>1245</v>
      </c>
      <c r="G670" s="444">
        <v>5.5063000000000004</v>
      </c>
      <c r="H670" s="424" t="s">
        <v>17</v>
      </c>
      <c r="I670" s="421">
        <f>ROUND($G670*C670/100,0)</f>
        <v>73</v>
      </c>
      <c r="K670" s="421">
        <f>ROUND($G670*E670/100,0)</f>
        <v>69</v>
      </c>
      <c r="M670" s="129">
        <f t="shared" si="245"/>
        <v>6.0632000000000001</v>
      </c>
      <c r="N670" s="48" t="s">
        <v>17</v>
      </c>
      <c r="O670" s="28">
        <f>ROUND(M670*$E670/100,0)</f>
        <v>75</v>
      </c>
      <c r="Q670" s="130">
        <f t="shared" si="247"/>
        <v>-2.64E-2</v>
      </c>
      <c r="R670" s="48"/>
      <c r="S670" s="28">
        <f t="shared" si="248"/>
        <v>-1.3778630136986303</v>
      </c>
      <c r="T670" s="79"/>
      <c r="X670" s="45">
        <f t="shared" si="246"/>
        <v>0.1011386956758622</v>
      </c>
    </row>
    <row r="671" spans="1:26">
      <c r="A671" s="40" t="s">
        <v>67</v>
      </c>
      <c r="C671" s="407">
        <v>16908</v>
      </c>
      <c r="E671" s="422">
        <f>ROUND(C671*($E$675-$E$674)/($C$675-$C$674),0)</f>
        <v>15929</v>
      </c>
      <c r="G671" s="444">
        <v>9.0399999999999991</v>
      </c>
      <c r="H671" s="424" t="s">
        <v>17</v>
      </c>
      <c r="I671" s="421">
        <f>ROUND($G671*C671/100,0)</f>
        <v>1528</v>
      </c>
      <c r="K671" s="421">
        <f>ROUND($G671*E671/100,0)</f>
        <v>1440</v>
      </c>
      <c r="M671" s="129">
        <f t="shared" si="245"/>
        <v>9.9543999999999997</v>
      </c>
      <c r="N671" s="48" t="s">
        <v>17</v>
      </c>
      <c r="O671" s="28">
        <f>ROUND(M671*$E671/100,0)</f>
        <v>1586</v>
      </c>
      <c r="Q671" s="130">
        <f t="shared" si="247"/>
        <v>-2.64E-2</v>
      </c>
      <c r="R671" s="48"/>
      <c r="S671" s="28">
        <f t="shared" si="248"/>
        <v>-29.137209863013698</v>
      </c>
      <c r="T671" s="79"/>
      <c r="X671" s="45">
        <f t="shared" si="246"/>
        <v>0.10115044247787619</v>
      </c>
      <c r="Y671"/>
    </row>
    <row r="672" spans="1:26">
      <c r="A672" s="40" t="s">
        <v>68</v>
      </c>
      <c r="C672" s="407">
        <v>889</v>
      </c>
      <c r="E672" s="422">
        <f>E675-E669-E670-E671</f>
        <v>837.24375311856784</v>
      </c>
      <c r="G672" s="444">
        <v>5.0688000000000004</v>
      </c>
      <c r="H672" s="424" t="s">
        <v>17</v>
      </c>
      <c r="I672" s="421">
        <f>ROUND($G672*C672/100,0)</f>
        <v>45</v>
      </c>
      <c r="K672" s="421">
        <f>ROUND($G672*E672/100,0)</f>
        <v>42</v>
      </c>
      <c r="M672" s="129">
        <f t="shared" si="245"/>
        <v>5.5771999999999995</v>
      </c>
      <c r="N672" s="48" t="s">
        <v>17</v>
      </c>
      <c r="O672" s="28">
        <f>ROUND(M672*$E672/100,0)</f>
        <v>47</v>
      </c>
      <c r="Q672" s="130">
        <f t="shared" si="247"/>
        <v>-2.64E-2</v>
      </c>
      <c r="R672" s="48"/>
      <c r="S672" s="28">
        <f t="shared" si="248"/>
        <v>-0.86346082191780815</v>
      </c>
      <c r="T672" s="79"/>
      <c r="X672" s="45">
        <f t="shared" si="246"/>
        <v>0.10029987373737348</v>
      </c>
    </row>
    <row r="673" spans="1:26">
      <c r="A673" s="40" t="s">
        <v>69</v>
      </c>
      <c r="C673" s="407">
        <v>0</v>
      </c>
      <c r="E673" s="422">
        <f>ROUND(C673*E665/C665,0)</f>
        <v>0</v>
      </c>
      <c r="G673" s="445">
        <v>96</v>
      </c>
      <c r="H673" s="426"/>
      <c r="I673" s="421">
        <f>ROUND($G673*C673,0)</f>
        <v>0</v>
      </c>
      <c r="K673" s="421">
        <f>ROUND($G673*E673,0)</f>
        <v>0</v>
      </c>
      <c r="M673" s="133">
        <f t="shared" si="245"/>
        <v>108</v>
      </c>
      <c r="N673" s="132"/>
      <c r="O673" s="28">
        <f>ROUND(M673*$E673,0)</f>
        <v>0</v>
      </c>
      <c r="Q673" s="130"/>
      <c r="R673" s="132"/>
      <c r="S673" s="28"/>
      <c r="T673" s="79"/>
      <c r="X673" s="45">
        <f t="shared" si="246"/>
        <v>0.125</v>
      </c>
      <c r="Z673"/>
    </row>
    <row r="674" spans="1:26">
      <c r="A674" s="40" t="s">
        <v>41</v>
      </c>
      <c r="C674" s="428">
        <v>-64</v>
      </c>
      <c r="E674" s="428">
        <v>0</v>
      </c>
      <c r="I674" s="429">
        <v>9</v>
      </c>
      <c r="K674" s="429">
        <v>0</v>
      </c>
      <c r="O674" s="89">
        <v>0</v>
      </c>
      <c r="S674" s="89"/>
    </row>
    <row r="675" spans="1:26" ht="16.5" thickBot="1">
      <c r="A675" s="40" t="s">
        <v>43</v>
      </c>
      <c r="C675" s="441">
        <f>SUM(C669:C672,C674)</f>
        <v>28424</v>
      </c>
      <c r="E675" s="441">
        <v>26839.243753118568</v>
      </c>
      <c r="G675" s="439"/>
      <c r="I675" s="440">
        <f>SUM(I665:I674)</f>
        <v>2863</v>
      </c>
      <c r="K675" s="440">
        <f>SUM(K665:K674)</f>
        <v>2706</v>
      </c>
      <c r="M675" s="115"/>
      <c r="O675" s="114">
        <f>SUM(O665:O674)</f>
        <v>2987</v>
      </c>
      <c r="Q675" s="116"/>
      <c r="S675" s="114">
        <f>SUM(S665:S674)</f>
        <v>-48.923322739726025</v>
      </c>
      <c r="U675" s="27" t="s">
        <v>26</v>
      </c>
      <c r="V675" s="108">
        <f>O675/K675-1</f>
        <v>0.10384331116038426</v>
      </c>
    </row>
    <row r="676" spans="1:26" ht="16.5" thickTop="1">
      <c r="A676" s="40" t="s">
        <v>45</v>
      </c>
      <c r="C676" s="407"/>
      <c r="E676" s="407"/>
      <c r="G676" s="433"/>
      <c r="H676" s="434"/>
      <c r="I676" s="429">
        <f>I631-I646-I661</f>
        <v>114.47290000040084</v>
      </c>
      <c r="K676" s="429">
        <f>I676</f>
        <v>114.47290000040084</v>
      </c>
      <c r="M676" s="36"/>
      <c r="N676" s="99"/>
      <c r="O676" s="89">
        <v>0</v>
      </c>
      <c r="Q676" s="36"/>
      <c r="R676" s="99"/>
      <c r="S676" s="89"/>
      <c r="T676" s="28"/>
      <c r="U676" s="15" t="s">
        <v>48</v>
      </c>
      <c r="V676" s="123">
        <f>(O675+O676)/(K675+K676)-1</f>
        <v>5.904226202619256E-2</v>
      </c>
    </row>
    <row r="677" spans="1:26">
      <c r="A677" s="40" t="s">
        <v>46</v>
      </c>
      <c r="C677" s="407"/>
      <c r="E677" s="407"/>
      <c r="G677" s="433">
        <f>M677</f>
        <v>3.95E-2</v>
      </c>
      <c r="H677" s="434"/>
      <c r="I677" s="429">
        <f>ROUND(SUM(I666:I672,I676)*$G677,0)</f>
        <v>106</v>
      </c>
      <c r="K677" s="429">
        <f>ROUND(SUM(K666:K672,K676)*$G677,0)</f>
        <v>100</v>
      </c>
      <c r="M677" s="119">
        <f>M632</f>
        <v>3.95E-2</v>
      </c>
      <c r="N677" s="118"/>
      <c r="O677" s="89">
        <f>ROUND(SUM(O666:O672,O676)*M677,0)</f>
        <v>105</v>
      </c>
      <c r="Q677" s="119"/>
      <c r="R677" s="118"/>
      <c r="S677" s="89"/>
      <c r="T677" s="28"/>
      <c r="V677"/>
    </row>
    <row r="678" spans="1:26">
      <c r="T678" s="28"/>
    </row>
    <row r="679" spans="1:26">
      <c r="A679" s="37" t="s">
        <v>285</v>
      </c>
      <c r="C679" s="407"/>
      <c r="E679" s="407"/>
      <c r="G679" s="444"/>
      <c r="H679" s="443"/>
      <c r="M679" s="129"/>
      <c r="N679" s="125"/>
      <c r="Q679" s="130"/>
      <c r="R679" s="125"/>
      <c r="T679" s="28"/>
      <c r="W679" s="38"/>
    </row>
    <row r="680" spans="1:26">
      <c r="A680" s="229" t="s">
        <v>286</v>
      </c>
      <c r="C680" s="407"/>
      <c r="E680" s="407"/>
      <c r="T680" s="28"/>
      <c r="U680" s="55" t="s">
        <v>20</v>
      </c>
      <c r="V680" s="56">
        <f>O728+O781</f>
        <v>851056</v>
      </c>
      <c r="W680" s="79"/>
      <c r="X680" s="240"/>
      <c r="Y680" s="28"/>
    </row>
    <row r="681" spans="1:26">
      <c r="A681" s="40" t="s">
        <v>287</v>
      </c>
      <c r="B681" s="40"/>
      <c r="C681" s="407">
        <v>0</v>
      </c>
      <c r="E681" s="407">
        <v>0</v>
      </c>
      <c r="G681" s="237">
        <v>104</v>
      </c>
      <c r="H681" s="420"/>
      <c r="I681" s="421">
        <f>ROUND(G681*$C681,0)</f>
        <v>0</v>
      </c>
      <c r="K681" s="421">
        <f>ROUND(G681*$E681,0)</f>
        <v>0</v>
      </c>
      <c r="M681" s="41">
        <f>ROUND(G681*(1+V$685),0)</f>
        <v>116</v>
      </c>
      <c r="N681" s="42"/>
      <c r="O681" s="28">
        <f>ROUND(M681*$E681,0)</f>
        <v>0</v>
      </c>
      <c r="Q681" s="83"/>
      <c r="R681" s="42"/>
      <c r="S681" s="28"/>
      <c r="T681" s="28"/>
      <c r="U681" s="60" t="s">
        <v>22</v>
      </c>
      <c r="V681" s="57">
        <f>(Stipulation!C17+Stipulation!E17)*1000</f>
        <v>850996.25225228944</v>
      </c>
      <c r="W681" s="79"/>
      <c r="X681" s="45">
        <f t="shared" ref="X681:X682" si="249">M681/G681-1</f>
        <v>0.11538461538461542</v>
      </c>
    </row>
    <row r="682" spans="1:26">
      <c r="A682" s="40" t="s">
        <v>288</v>
      </c>
      <c r="B682" s="40"/>
      <c r="C682" s="407">
        <v>0</v>
      </c>
      <c r="E682" s="407">
        <f>ROUND(C682*$E$728/$C$728,0)</f>
        <v>0</v>
      </c>
      <c r="G682" s="237">
        <v>3.81</v>
      </c>
      <c r="H682" s="420"/>
      <c r="I682" s="421">
        <f>ROUND(G682*$C682,0)</f>
        <v>0</v>
      </c>
      <c r="K682" s="421">
        <f>ROUND(G682*$E682,0)</f>
        <v>0</v>
      </c>
      <c r="M682" s="41">
        <f>ROUND(G682*(1+V$685),2)</f>
        <v>4.26</v>
      </c>
      <c r="N682" s="42"/>
      <c r="O682" s="28">
        <f>ROUND(M682*$E682,0)</f>
        <v>0</v>
      </c>
      <c r="Q682" s="83"/>
      <c r="R682" s="42"/>
      <c r="S682" s="28"/>
      <c r="T682" s="28"/>
      <c r="U682" s="64" t="s">
        <v>24</v>
      </c>
      <c r="V682" s="65">
        <f>V681-V680</f>
        <v>-59.747747710556723</v>
      </c>
      <c r="W682" s="79"/>
      <c r="X682" s="45">
        <f t="shared" si="249"/>
        <v>0.11811023622047245</v>
      </c>
      <c r="Z682" s="120"/>
    </row>
    <row r="683" spans="1:26">
      <c r="A683" s="40" t="s">
        <v>289</v>
      </c>
      <c r="B683" s="40"/>
      <c r="C683" s="407"/>
      <c r="E683" s="407"/>
      <c r="G683" s="445"/>
      <c r="H683" s="426"/>
      <c r="I683" s="421"/>
      <c r="K683" s="421"/>
      <c r="M683" s="78"/>
      <c r="N683" s="132"/>
      <c r="O683" s="28"/>
      <c r="Q683" s="80"/>
      <c r="R683" s="132"/>
      <c r="S683" s="28"/>
      <c r="U683" s="69" t="s">
        <v>26</v>
      </c>
      <c r="V683" s="139">
        <f>V680/(K728+K781)-1</f>
        <v>0.11980021236646499</v>
      </c>
      <c r="W683" s="39"/>
      <c r="X683" s="240"/>
      <c r="Y683" s="28"/>
    </row>
    <row r="684" spans="1:26">
      <c r="A684" s="40" t="s">
        <v>290</v>
      </c>
      <c r="B684" s="40"/>
      <c r="C684" s="407">
        <v>0</v>
      </c>
      <c r="E684" s="407">
        <f>ROUND(C684*$E$728/$C$728,0)</f>
        <v>0</v>
      </c>
      <c r="G684" s="470">
        <v>0.52439999999999998</v>
      </c>
      <c r="H684" s="471"/>
      <c r="I684" s="421">
        <f>ROUND(G684*$C684,0)</f>
        <v>0</v>
      </c>
      <c r="K684" s="421">
        <f>ROUND(G684*$E684,0)</f>
        <v>0</v>
      </c>
      <c r="M684" s="241">
        <f>ROUND(G684*(1+V$685),4)</f>
        <v>0.58679999999999999</v>
      </c>
      <c r="N684" s="242"/>
      <c r="O684" s="28">
        <f>ROUND(M684*$E684,0)</f>
        <v>0</v>
      </c>
      <c r="Q684" s="83"/>
      <c r="R684" s="242"/>
      <c r="S684" s="28"/>
      <c r="T684" s="28"/>
      <c r="U684" s="74" t="s">
        <v>28</v>
      </c>
      <c r="V684" s="140">
        <f>V681/(K728+K781)-1</f>
        <v>0.11972159763303414</v>
      </c>
      <c r="W684" s="49"/>
      <c r="X684" s="45">
        <f t="shared" ref="X684:X686" si="250">M684/G684-1</f>
        <v>0.11899313501144171</v>
      </c>
    </row>
    <row r="685" spans="1:26">
      <c r="A685" s="40" t="s">
        <v>291</v>
      </c>
      <c r="B685" s="40"/>
      <c r="C685" s="407">
        <v>0</v>
      </c>
      <c r="E685" s="407">
        <f>ROUND(C685*$E$728/$C$728,0)</f>
        <v>0</v>
      </c>
      <c r="G685" s="472">
        <v>0.26219999999999999</v>
      </c>
      <c r="H685" s="473"/>
      <c r="I685" s="421">
        <f>ROUND(G685*$C685,0)</f>
        <v>0</v>
      </c>
      <c r="K685" s="421">
        <f>ROUND(G685*$E685,0)</f>
        <v>0</v>
      </c>
      <c r="M685" s="243">
        <f>ROUND(M684*0.5,4)</f>
        <v>0.29339999999999999</v>
      </c>
      <c r="N685" s="244"/>
      <c r="O685" s="28">
        <f>ROUND(M685*$E685,0)</f>
        <v>0</v>
      </c>
      <c r="Q685" s="80"/>
      <c r="R685" s="244"/>
      <c r="S685" s="28"/>
      <c r="T685" s="28"/>
      <c r="U685" s="74" t="s">
        <v>292</v>
      </c>
      <c r="V685" s="140">
        <f>(V681-SUM(O707:O727,O760:O780))/SUM(K702,K755)-1</f>
        <v>0.11907555832553984</v>
      </c>
      <c r="W685" s="240"/>
      <c r="X685" s="45">
        <f t="shared" si="250"/>
        <v>0.11899313501144171</v>
      </c>
      <c r="Y685" s="28"/>
      <c r="Z685" s="120"/>
    </row>
    <row r="686" spans="1:26">
      <c r="A686" s="40" t="s">
        <v>293</v>
      </c>
      <c r="B686" s="40"/>
      <c r="C686" s="407">
        <v>0</v>
      </c>
      <c r="E686" s="407">
        <f>ROUND(C686*$E$728/$C$728,0)</f>
        <v>0</v>
      </c>
      <c r="G686" s="237">
        <v>49.4</v>
      </c>
      <c r="H686" s="420"/>
      <c r="I686" s="421">
        <f>ROUND(G686*$C686,0)</f>
        <v>0</v>
      </c>
      <c r="K686" s="421">
        <f>ROUND(G686*$E686,0)</f>
        <v>0</v>
      </c>
      <c r="M686" s="41">
        <f>ROUND(G686*(1+V$685),2)</f>
        <v>55.28</v>
      </c>
      <c r="N686" s="42"/>
      <c r="O686" s="28">
        <f>ROUND(M686*$E686,0)</f>
        <v>0</v>
      </c>
      <c r="Q686" s="83"/>
      <c r="R686" s="42"/>
      <c r="S686" s="28"/>
      <c r="T686" s="28"/>
      <c r="U686" s="91" t="s">
        <v>48</v>
      </c>
      <c r="V686" s="146">
        <f>V680/(K728+K729+K781+K782)-1</f>
        <v>7.3087750255361961E-2</v>
      </c>
      <c r="X686" s="45">
        <f t="shared" si="250"/>
        <v>0.11902834008097174</v>
      </c>
      <c r="Y686" s="28"/>
    </row>
    <row r="687" spans="1:26">
      <c r="A687" s="229" t="s">
        <v>294</v>
      </c>
      <c r="C687" s="407"/>
      <c r="E687" s="407"/>
      <c r="M687" s="15"/>
      <c r="Q687" s="141"/>
      <c r="T687" s="28"/>
      <c r="U687" s="101"/>
      <c r="V687" s="135"/>
      <c r="X687" s="240"/>
      <c r="Y687" s="28"/>
      <c r="Z687" s="120"/>
    </row>
    <row r="688" spans="1:26">
      <c r="A688" s="40" t="s">
        <v>287</v>
      </c>
      <c r="C688" s="407">
        <v>24</v>
      </c>
      <c r="E688" s="407">
        <v>24</v>
      </c>
      <c r="G688" s="237">
        <v>471</v>
      </c>
      <c r="H688" s="420"/>
      <c r="I688" s="421">
        <f>ROUND(G688*$C688,0)</f>
        <v>11304</v>
      </c>
      <c r="K688" s="421">
        <f>ROUND(G688*$E688,0)</f>
        <v>11304</v>
      </c>
      <c r="M688" s="41">
        <f>ROUND(G688*(1+V$685),0)</f>
        <v>527</v>
      </c>
      <c r="N688" s="42"/>
      <c r="O688" s="28">
        <f>ROUND(M688*$E688,0)</f>
        <v>12648</v>
      </c>
      <c r="Q688" s="83"/>
      <c r="R688" s="42"/>
      <c r="S688" s="28"/>
      <c r="T688" s="28"/>
      <c r="W688" s="240"/>
      <c r="X688" s="45">
        <f t="shared" ref="X688:X689" si="251">M688/G688-1</f>
        <v>0.11889596602972397</v>
      </c>
      <c r="Z688" s="120"/>
    </row>
    <row r="689" spans="1:26">
      <c r="A689" s="40" t="s">
        <v>288</v>
      </c>
      <c r="C689" s="407">
        <v>39600</v>
      </c>
      <c r="E689" s="407">
        <f>ROUND(C689*$E$728/$C$728,0)</f>
        <v>38075</v>
      </c>
      <c r="G689" s="237">
        <v>2.99</v>
      </c>
      <c r="H689" s="420"/>
      <c r="I689" s="421">
        <f>ROUND(G689*$C689,0)</f>
        <v>118404</v>
      </c>
      <c r="K689" s="421">
        <f>ROUND(G689*$E689,0)</f>
        <v>113844</v>
      </c>
      <c r="M689" s="41">
        <f>ROUND(G689*(1+V$685),2)</f>
        <v>3.35</v>
      </c>
      <c r="N689" s="42"/>
      <c r="O689" s="28">
        <f>ROUND(M689*$E689,0)</f>
        <v>127551</v>
      </c>
      <c r="Q689" s="83"/>
      <c r="R689" s="42"/>
      <c r="S689" s="28"/>
      <c r="T689" s="28"/>
      <c r="U689" s="245"/>
      <c r="V689" s="135"/>
      <c r="X689" s="45">
        <f t="shared" si="251"/>
        <v>0.12040133779264206</v>
      </c>
      <c r="Z689" s="120"/>
    </row>
    <row r="690" spans="1:26">
      <c r="A690" s="40" t="s">
        <v>289</v>
      </c>
      <c r="C690" s="407"/>
      <c r="E690" s="407"/>
      <c r="G690" s="237"/>
      <c r="H690" s="420"/>
      <c r="I690" s="421"/>
      <c r="K690" s="421"/>
      <c r="M690" s="78"/>
      <c r="N690" s="42"/>
      <c r="O690" s="28"/>
      <c r="Q690" s="80"/>
      <c r="R690" s="42"/>
      <c r="S690" s="28"/>
      <c r="U690" s="101"/>
      <c r="W690" s="240"/>
      <c r="X690" s="240"/>
      <c r="Y690" s="28"/>
    </row>
    <row r="691" spans="1:26">
      <c r="A691" s="40" t="s">
        <v>290</v>
      </c>
      <c r="C691" s="407">
        <v>231039.99096567</v>
      </c>
      <c r="E691" s="407">
        <f>ROUND(C691*$E$728/$C$728,0)</f>
        <v>222141</v>
      </c>
      <c r="G691" s="470">
        <v>0.51019999999999999</v>
      </c>
      <c r="H691" s="471"/>
      <c r="I691" s="421">
        <f>ROUND(G691*$C691,0)</f>
        <v>117877</v>
      </c>
      <c r="K691" s="421">
        <f>ROUND(G691*$E691,0)</f>
        <v>113336</v>
      </c>
      <c r="M691" s="241">
        <f>ROUND(G691*(1+V$685),4)</f>
        <v>0.57099999999999995</v>
      </c>
      <c r="N691" s="242"/>
      <c r="O691" s="28">
        <f>ROUND(M691*$E691,0)</f>
        <v>126843</v>
      </c>
      <c r="Q691" s="83"/>
      <c r="R691" s="242"/>
      <c r="S691" s="28"/>
      <c r="T691" s="28"/>
      <c r="U691" s="38"/>
      <c r="V691" s="79"/>
      <c r="X691" s="45">
        <f t="shared" ref="X691:X693" si="252">M691/G691-1</f>
        <v>0.11916895335162669</v>
      </c>
    </row>
    <row r="692" spans="1:26">
      <c r="A692" s="40" t="s">
        <v>291</v>
      </c>
      <c r="C692" s="407">
        <v>26643.5166599759</v>
      </c>
      <c r="E692" s="407">
        <f>ROUND(C692*$E$728/$C$728,0)</f>
        <v>25617</v>
      </c>
      <c r="G692" s="472">
        <v>0.25509999999999999</v>
      </c>
      <c r="H692" s="473"/>
      <c r="I692" s="421">
        <f>ROUND(G692*$C692,0)</f>
        <v>6797</v>
      </c>
      <c r="K692" s="421">
        <f>ROUND(G692*$E692,0)</f>
        <v>6535</v>
      </c>
      <c r="M692" s="243">
        <f>ROUND(M691*0.5,4)</f>
        <v>0.28549999999999998</v>
      </c>
      <c r="N692" s="244"/>
      <c r="O692" s="28">
        <f>ROUND(M692*$E692,0)</f>
        <v>7314</v>
      </c>
      <c r="Q692" s="80"/>
      <c r="R692" s="244"/>
      <c r="S692" s="28"/>
      <c r="T692" s="28"/>
      <c r="U692" s="38"/>
      <c r="V692" s="79"/>
      <c r="W692" s="240"/>
      <c r="X692" s="45">
        <f t="shared" si="252"/>
        <v>0.11916895335162669</v>
      </c>
      <c r="Y692" s="28"/>
      <c r="Z692" s="120"/>
    </row>
    <row r="693" spans="1:26">
      <c r="A693" s="40" t="s">
        <v>293</v>
      </c>
      <c r="C693" s="407">
        <v>0</v>
      </c>
      <c r="E693" s="407">
        <f>ROUND(C693*$E$728/$C$728,0)</f>
        <v>0</v>
      </c>
      <c r="G693" s="237">
        <v>35.6</v>
      </c>
      <c r="H693" s="420"/>
      <c r="I693" s="421">
        <f>ROUND(G693*$C693,0)</f>
        <v>0</v>
      </c>
      <c r="K693" s="421">
        <f>ROUND(G693*$E693,0)</f>
        <v>0</v>
      </c>
      <c r="M693" s="41">
        <f>ROUND(G693*(1+V$685),2)</f>
        <v>39.840000000000003</v>
      </c>
      <c r="N693" s="42"/>
      <c r="O693" s="28">
        <f>ROUND(M693*$E693,0)</f>
        <v>0</v>
      </c>
      <c r="Q693" s="83"/>
      <c r="R693" s="42"/>
      <c r="S693" s="28"/>
      <c r="T693" s="28"/>
      <c r="U693" s="122"/>
      <c r="V693" s="79"/>
      <c r="X693" s="45">
        <f t="shared" si="252"/>
        <v>0.11910112359550573</v>
      </c>
    </row>
    <row r="694" spans="1:26">
      <c r="A694" s="229" t="s">
        <v>295</v>
      </c>
      <c r="C694" s="407"/>
      <c r="E694" s="407"/>
      <c r="M694" s="15"/>
      <c r="Q694" s="141"/>
      <c r="T694" s="28"/>
      <c r="U694" s="85"/>
      <c r="V694" s="123"/>
      <c r="W694" s="86"/>
      <c r="X694" s="240"/>
      <c r="Y694" s="28"/>
      <c r="Z694" s="120"/>
    </row>
    <row r="695" spans="1:26">
      <c r="A695" s="40" t="s">
        <v>287</v>
      </c>
      <c r="C695" s="407">
        <v>0</v>
      </c>
      <c r="E695" s="407">
        <v>0</v>
      </c>
      <c r="G695" s="237">
        <v>527</v>
      </c>
      <c r="H695" s="420"/>
      <c r="I695" s="421">
        <f>ROUND(G695*$C695,0)</f>
        <v>0</v>
      </c>
      <c r="K695" s="421">
        <f>ROUND(G695*$E695,0)</f>
        <v>0</v>
      </c>
      <c r="M695" s="41">
        <f>ROUND(G695*(1+V$685),0)</f>
        <v>590</v>
      </c>
      <c r="N695" s="42"/>
      <c r="O695" s="28">
        <f>ROUND(M695*$E695,0)</f>
        <v>0</v>
      </c>
      <c r="Q695" s="83"/>
      <c r="R695" s="42"/>
      <c r="S695" s="28"/>
      <c r="T695" s="28"/>
      <c r="U695" s="85"/>
      <c r="V695" s="123"/>
      <c r="X695" s="45">
        <f t="shared" ref="X695:X696" si="253">M695/G695-1</f>
        <v>0.11954459203036061</v>
      </c>
      <c r="Y695" s="28"/>
      <c r="Z695" s="120"/>
    </row>
    <row r="696" spans="1:26">
      <c r="A696" s="40" t="s">
        <v>288</v>
      </c>
      <c r="C696" s="407">
        <v>0</v>
      </c>
      <c r="E696" s="407">
        <f>ROUND(C696*$E$728/$C$728,0)</f>
        <v>0</v>
      </c>
      <c r="G696" s="237">
        <v>1.7</v>
      </c>
      <c r="H696" s="420"/>
      <c r="I696" s="421">
        <f>ROUND(G696*$C696,0)</f>
        <v>0</v>
      </c>
      <c r="K696" s="421">
        <f>ROUND(G696*$E696,0)</f>
        <v>0</v>
      </c>
      <c r="M696" s="41">
        <f>ROUND(G696*(1+V$685),2)</f>
        <v>1.9</v>
      </c>
      <c r="N696" s="100"/>
      <c r="O696" s="28">
        <f>ROUND(M696*$E696,0)</f>
        <v>0</v>
      </c>
      <c r="Q696" s="83"/>
      <c r="R696" s="100"/>
      <c r="S696" s="28"/>
      <c r="T696" s="28"/>
      <c r="U696" s="85"/>
      <c r="V696" s="123"/>
      <c r="X696" s="45">
        <f t="shared" si="253"/>
        <v>0.11764705882352944</v>
      </c>
      <c r="Y696" s="28"/>
      <c r="Z696" s="120"/>
    </row>
    <row r="697" spans="1:26">
      <c r="A697" s="40" t="s">
        <v>289</v>
      </c>
      <c r="C697" s="407"/>
      <c r="E697" s="407"/>
      <c r="G697" s="445"/>
      <c r="H697" s="426"/>
      <c r="I697" s="421"/>
      <c r="K697" s="421"/>
      <c r="M697" s="78"/>
      <c r="N697" s="132"/>
      <c r="O697" s="28"/>
      <c r="Q697" s="80"/>
      <c r="R697" s="132"/>
      <c r="S697" s="28"/>
      <c r="T697" s="79"/>
      <c r="U697" s="85"/>
      <c r="V697" s="246"/>
      <c r="Z697" s="120"/>
    </row>
    <row r="698" spans="1:26">
      <c r="A698" s="40" t="s">
        <v>290</v>
      </c>
      <c r="C698" s="407">
        <v>0</v>
      </c>
      <c r="E698" s="407">
        <f>ROUND(C698*$E$728/$C$728,0)</f>
        <v>0</v>
      </c>
      <c r="G698" s="470">
        <v>0.40079999999999999</v>
      </c>
      <c r="H698" s="471"/>
      <c r="I698" s="421">
        <f>ROUND(G698*$C698,0)</f>
        <v>0</v>
      </c>
      <c r="K698" s="421">
        <f>ROUND(G698*$E698,0)</f>
        <v>0</v>
      </c>
      <c r="M698" s="241">
        <f>ROUND(G698*(1+V$685),4)</f>
        <v>0.44850000000000001</v>
      </c>
      <c r="N698" s="242"/>
      <c r="O698" s="28">
        <f>ROUND(M698*$E698,0)</f>
        <v>0</v>
      </c>
      <c r="Q698" s="83"/>
      <c r="R698" s="242"/>
      <c r="S698" s="28"/>
      <c r="T698" s="79"/>
      <c r="U698" s="101"/>
      <c r="V698" s="135"/>
      <c r="X698" s="45">
        <f t="shared" ref="X698:X700" si="254">M698/G698-1</f>
        <v>0.11901197604790426</v>
      </c>
      <c r="Y698" s="28"/>
      <c r="Z698"/>
    </row>
    <row r="699" spans="1:26">
      <c r="A699" s="40" t="s">
        <v>291</v>
      </c>
      <c r="C699" s="407">
        <v>0</v>
      </c>
      <c r="E699" s="407">
        <f>ROUND(C699*$E$728/$C$728,0)</f>
        <v>0</v>
      </c>
      <c r="G699" s="472">
        <v>0.20039999999999999</v>
      </c>
      <c r="H699" s="473"/>
      <c r="I699" s="421">
        <f>ROUND(G699*$C699,0)</f>
        <v>0</v>
      </c>
      <c r="K699" s="421">
        <f>ROUND(G699*$E699,0)</f>
        <v>0</v>
      </c>
      <c r="M699" s="243">
        <f>ROUND(M698*0.5,4)</f>
        <v>0.2243</v>
      </c>
      <c r="N699" s="244"/>
      <c r="O699" s="28">
        <f>ROUND(M699*$E699,0)</f>
        <v>0</v>
      </c>
      <c r="Q699" s="80"/>
      <c r="R699" s="244"/>
      <c r="S699" s="28"/>
      <c r="T699" s="79"/>
      <c r="V699" s="135"/>
      <c r="X699" s="45">
        <f t="shared" si="254"/>
        <v>0.11926147704590817</v>
      </c>
      <c r="Y699" s="28"/>
      <c r="Z699"/>
    </row>
    <row r="700" spans="1:26">
      <c r="A700" s="40" t="s">
        <v>293</v>
      </c>
      <c r="C700" s="407">
        <v>0</v>
      </c>
      <c r="E700" s="407">
        <f>ROUND(C700*$E$728/$C$728,0)</f>
        <v>0</v>
      </c>
      <c r="G700" s="237">
        <v>34.28</v>
      </c>
      <c r="H700" s="420"/>
      <c r="I700" s="421">
        <f>ROUND(G700*$C700,0)</f>
        <v>0</v>
      </c>
      <c r="K700" s="421">
        <f>ROUND(G700*$E700,0)</f>
        <v>0</v>
      </c>
      <c r="M700" s="41">
        <f>ROUND(G700*(1+V$685),2)</f>
        <v>38.36</v>
      </c>
      <c r="N700" s="42"/>
      <c r="O700" s="28">
        <f>ROUND(M700*$E700,0)</f>
        <v>0</v>
      </c>
      <c r="Q700" s="83"/>
      <c r="R700" s="42"/>
      <c r="S700" s="28"/>
      <c r="T700" s="79"/>
      <c r="X700" s="45">
        <f t="shared" si="254"/>
        <v>0.11901983663943994</v>
      </c>
      <c r="Z700"/>
    </row>
    <row r="701" spans="1:26">
      <c r="A701" s="15" t="s">
        <v>129</v>
      </c>
      <c r="C701" s="461">
        <v>29680</v>
      </c>
      <c r="E701" s="461">
        <v>0</v>
      </c>
      <c r="G701" s="444"/>
      <c r="H701" s="443"/>
      <c r="I701" s="429">
        <v>3176</v>
      </c>
      <c r="K701" s="429">
        <v>0</v>
      </c>
      <c r="M701" s="128"/>
      <c r="N701" s="125"/>
      <c r="O701" s="89">
        <v>0</v>
      </c>
      <c r="Q701" s="80"/>
      <c r="R701" s="125"/>
      <c r="S701" s="89"/>
    </row>
    <row r="702" spans="1:26" ht="16.5" thickBot="1">
      <c r="A702" s="40" t="s">
        <v>43</v>
      </c>
      <c r="C702" s="460">
        <f>C701</f>
        <v>29680</v>
      </c>
      <c r="E702" s="460">
        <f>E701</f>
        <v>0</v>
      </c>
      <c r="G702" s="439"/>
      <c r="I702" s="440">
        <f>SUM(I681:I701)</f>
        <v>257558</v>
      </c>
      <c r="K702" s="440">
        <f>SUM(K681:K701)</f>
        <v>245019</v>
      </c>
      <c r="M702" s="113"/>
      <c r="O702" s="114">
        <f>SUM(O681:O701)</f>
        <v>274356</v>
      </c>
      <c r="Q702" s="143"/>
      <c r="S702" s="114">
        <f>SUM(S681:S701)</f>
        <v>0</v>
      </c>
      <c r="T702" s="28"/>
      <c r="U702" s="27" t="s">
        <v>48</v>
      </c>
      <c r="V702" s="123">
        <f>(O702+O703)/(K702+K703)-1</f>
        <v>0.11973357168219612</v>
      </c>
    </row>
    <row r="703" spans="1:26" ht="16.5" thickTop="1">
      <c r="A703" s="40" t="s">
        <v>45</v>
      </c>
      <c r="C703" s="407"/>
      <c r="E703" s="407"/>
      <c r="G703" s="433"/>
      <c r="H703" s="434"/>
      <c r="I703" s="429"/>
      <c r="K703" s="429"/>
      <c r="M703" s="98"/>
      <c r="N703" s="99"/>
      <c r="O703" s="89"/>
      <c r="Q703" s="98"/>
      <c r="R703" s="99"/>
      <c r="S703" s="89"/>
      <c r="T703" s="28"/>
      <c r="U703" s="27"/>
      <c r="V703" s="247"/>
    </row>
    <row r="704" spans="1:26">
      <c r="A704" s="40" t="s">
        <v>46</v>
      </c>
      <c r="C704" s="407"/>
      <c r="E704" s="407"/>
      <c r="G704" s="433">
        <f>M704</f>
        <v>3.85E-2</v>
      </c>
      <c r="H704" s="434"/>
      <c r="I704" s="429">
        <f>ROUND(SUM(I682:I686,I689:I693,I696:I700,I703)*G704,0)</f>
        <v>9359</v>
      </c>
      <c r="K704" s="429">
        <f>ROUND(SUM(K682:K686,K689:K693,K696:K700,K703)*G704,0)</f>
        <v>8998</v>
      </c>
      <c r="M704" s="36">
        <v>3.85E-2</v>
      </c>
      <c r="N704" s="99"/>
      <c r="O704" s="89">
        <f>ROUND(SUM(O682:O686,O689:O693,O696:O700,O703)*M704,0)</f>
        <v>10076</v>
      </c>
      <c r="Q704" s="36"/>
      <c r="R704" s="99"/>
      <c r="S704" s="89"/>
      <c r="T704" s="28"/>
      <c r="U704" s="27"/>
      <c r="V704" s="247"/>
    </row>
    <row r="705" spans="1:24">
      <c r="A705" s="229" t="s">
        <v>296</v>
      </c>
      <c r="T705" s="28"/>
      <c r="U705" s="247"/>
    </row>
    <row r="706" spans="1:24">
      <c r="A706" s="37" t="s">
        <v>297</v>
      </c>
      <c r="C706" s="407"/>
      <c r="E706" s="407"/>
      <c r="G706" s="445"/>
      <c r="H706" s="426"/>
      <c r="I706" s="421"/>
      <c r="K706" s="421"/>
      <c r="M706" s="133"/>
      <c r="N706" s="132"/>
      <c r="O706" s="28"/>
      <c r="Q706" s="130"/>
      <c r="R706" s="132"/>
      <c r="S706" s="28"/>
      <c r="T706" s="28"/>
      <c r="U706" s="247"/>
    </row>
    <row r="707" spans="1:24">
      <c r="A707" s="40" t="s">
        <v>71</v>
      </c>
      <c r="C707" s="407">
        <v>0</v>
      </c>
      <c r="E707" s="407">
        <f>ROUND(C707*$E$728/$C$728,0)</f>
        <v>0</v>
      </c>
      <c r="G707" s="445">
        <v>15.16</v>
      </c>
      <c r="H707" s="426"/>
      <c r="I707" s="421">
        <f>ROUND(G707*$C707,0)</f>
        <v>0</v>
      </c>
      <c r="K707" s="421">
        <f>ROUND(G707*$E707,0)</f>
        <v>0</v>
      </c>
      <c r="M707" s="133">
        <f>M117</f>
        <v>16.84</v>
      </c>
      <c r="N707" s="132"/>
      <c r="O707" s="28">
        <f>ROUND(M707*$E707,0)</f>
        <v>0</v>
      </c>
      <c r="Q707" s="130">
        <f>Q117</f>
        <v>-2.7799999999999998E-2</v>
      </c>
      <c r="R707" s="132"/>
      <c r="S707" s="28">
        <f t="shared" ref="S707:S708" si="255">O707*Q707*254/365</f>
        <v>0</v>
      </c>
      <c r="T707" s="28"/>
      <c r="U707" s="247"/>
      <c r="X707" s="45">
        <f t="shared" ref="X707:X709" si="256">M707/G707-1</f>
        <v>0.1108179419525066</v>
      </c>
    </row>
    <row r="708" spans="1:24">
      <c r="A708" s="40" t="s">
        <v>72</v>
      </c>
      <c r="C708" s="407">
        <v>0</v>
      </c>
      <c r="E708" s="407">
        <f>ROUND(C708*$E$728/$C$728,0)</f>
        <v>0</v>
      </c>
      <c r="G708" s="445">
        <v>12.17</v>
      </c>
      <c r="H708" s="426"/>
      <c r="I708" s="421">
        <f>ROUND(G708*$C708,0)</f>
        <v>0</v>
      </c>
      <c r="K708" s="421">
        <f>ROUND(G708*$E708,0)</f>
        <v>0</v>
      </c>
      <c r="M708" s="133">
        <f>M118</f>
        <v>13.52</v>
      </c>
      <c r="N708" s="132"/>
      <c r="O708" s="28">
        <f>ROUND(M708*$E708,0)</f>
        <v>0</v>
      </c>
      <c r="Q708" s="130">
        <f>Q118</f>
        <v>-2.7799999999999998E-2</v>
      </c>
      <c r="R708" s="132"/>
      <c r="S708" s="28">
        <f t="shared" si="255"/>
        <v>0</v>
      </c>
      <c r="T708" s="28"/>
      <c r="U708" s="247"/>
      <c r="X708" s="45">
        <f t="shared" si="256"/>
        <v>0.11092851273623672</v>
      </c>
    </row>
    <row r="709" spans="1:24">
      <c r="A709" s="40" t="s">
        <v>64</v>
      </c>
      <c r="C709" s="407">
        <v>0</v>
      </c>
      <c r="E709" s="407">
        <f>ROUND(C709*$E$728/$C$728,0)</f>
        <v>0</v>
      </c>
      <c r="G709" s="445">
        <v>-0.78</v>
      </c>
      <c r="H709" s="426"/>
      <c r="I709" s="421">
        <f>ROUND(G709*$C709,0)</f>
        <v>0</v>
      </c>
      <c r="K709" s="421">
        <f>ROUND(G709*$E709,0)</f>
        <v>0</v>
      </c>
      <c r="M709" s="133">
        <f>M119</f>
        <v>-0.87</v>
      </c>
      <c r="N709" s="132"/>
      <c r="O709" s="28">
        <f>ROUND(M709*$E709,0)</f>
        <v>0</v>
      </c>
      <c r="Q709" s="130"/>
      <c r="R709" s="132"/>
      <c r="S709" s="28"/>
      <c r="T709" s="28"/>
      <c r="X709" s="45">
        <f t="shared" si="256"/>
        <v>0.11538461538461542</v>
      </c>
    </row>
    <row r="710" spans="1:24">
      <c r="A710" s="40" t="s">
        <v>59</v>
      </c>
      <c r="C710" s="407">
        <f>C711+C712</f>
        <v>0</v>
      </c>
      <c r="E710" s="407">
        <f>SUM(E711:E712)</f>
        <v>0</v>
      </c>
      <c r="G710" s="444"/>
      <c r="H710" s="424"/>
      <c r="I710" s="421"/>
      <c r="K710" s="421"/>
      <c r="M710" s="129"/>
      <c r="N710" s="48"/>
      <c r="O710" s="28"/>
      <c r="Q710" s="130"/>
      <c r="R710" s="48"/>
      <c r="S710" s="28"/>
      <c r="T710" s="28"/>
      <c r="U710" s="247"/>
    </row>
    <row r="711" spans="1:24">
      <c r="A711" s="40" t="s">
        <v>73</v>
      </c>
      <c r="C711" s="407">
        <v>0</v>
      </c>
      <c r="E711" s="407">
        <f>ROUND(C711*$E$728/($C$728-$C$701),0)</f>
        <v>0</v>
      </c>
      <c r="G711" s="444">
        <v>3.1907000000000001</v>
      </c>
      <c r="H711" s="424" t="s">
        <v>17</v>
      </c>
      <c r="I711" s="421">
        <f>ROUND(G711*$C711/100,0)</f>
        <v>0</v>
      </c>
      <c r="K711" s="421">
        <f t="shared" ref="K711:K712" si="257">ROUND(G711*$E711/100,0)</f>
        <v>0</v>
      </c>
      <c r="M711" s="129">
        <f>M121</f>
        <v>3.5438999999999998</v>
      </c>
      <c r="N711" s="48" t="s">
        <v>17</v>
      </c>
      <c r="O711" s="28">
        <f>ROUND(M711*$E711/100,0)</f>
        <v>0</v>
      </c>
      <c r="Q711" s="130">
        <f t="shared" ref="Q711:Q712" si="258">Q121</f>
        <v>-2.7799999999999998E-2</v>
      </c>
      <c r="R711" s="48"/>
      <c r="S711" s="28">
        <f t="shared" ref="S711:S712" si="259">O711*Q711*254/365</f>
        <v>0</v>
      </c>
      <c r="T711" s="28"/>
      <c r="X711" s="45">
        <f t="shared" ref="X711:X712" si="260">M711/G711-1</f>
        <v>0.11069671232018052</v>
      </c>
    </row>
    <row r="712" spans="1:24">
      <c r="A712" s="40" t="s">
        <v>74</v>
      </c>
      <c r="C712" s="407">
        <v>0</v>
      </c>
      <c r="E712" s="407">
        <f>ROUND(C712*$E$728/($C$728-$C$701),0)</f>
        <v>0</v>
      </c>
      <c r="G712" s="444">
        <v>2.9416000000000002</v>
      </c>
      <c r="H712" s="424" t="s">
        <v>17</v>
      </c>
      <c r="I712" s="421">
        <f>ROUND(G712*$C712/100,0)</f>
        <v>0</v>
      </c>
      <c r="K712" s="421">
        <f t="shared" si="257"/>
        <v>0</v>
      </c>
      <c r="M712" s="129">
        <f>M122</f>
        <v>3.2658999999999998</v>
      </c>
      <c r="N712" s="48" t="s">
        <v>17</v>
      </c>
      <c r="O712" s="28">
        <f>ROUND(M712*$E712/100,0)</f>
        <v>0</v>
      </c>
      <c r="Q712" s="130">
        <f t="shared" si="258"/>
        <v>-2.7799999999999998E-2</v>
      </c>
      <c r="R712" s="48"/>
      <c r="S712" s="28">
        <f t="shared" si="259"/>
        <v>0</v>
      </c>
      <c r="T712" s="28"/>
      <c r="X712" s="45">
        <f t="shared" si="260"/>
        <v>0.11024612455806349</v>
      </c>
    </row>
    <row r="713" spans="1:24">
      <c r="A713" s="37" t="s">
        <v>298</v>
      </c>
      <c r="C713" s="407"/>
      <c r="E713" s="407"/>
      <c r="G713" s="445"/>
      <c r="H713" s="426"/>
      <c r="I713" s="421"/>
      <c r="K713" s="421"/>
      <c r="M713" s="133"/>
      <c r="N713" s="132"/>
      <c r="O713" s="28"/>
      <c r="Q713" s="130"/>
      <c r="R713" s="132"/>
      <c r="S713" s="28"/>
      <c r="T713" s="28"/>
      <c r="U713" s="247"/>
    </row>
    <row r="714" spans="1:24">
      <c r="A714" s="40" t="s">
        <v>135</v>
      </c>
      <c r="C714" s="407">
        <v>0</v>
      </c>
      <c r="E714" s="407">
        <f>ROUND(C714*$E$728/$C$728,0)</f>
        <v>0</v>
      </c>
      <c r="G714" s="445">
        <v>3.77</v>
      </c>
      <c r="H714" s="426"/>
      <c r="I714" s="421">
        <f>ROUND(G714*$C714,0)</f>
        <v>0</v>
      </c>
      <c r="K714" s="421">
        <f>ROUND(G714*$E714,0)</f>
        <v>0</v>
      </c>
      <c r="M714" s="133">
        <f t="shared" ref="M714:M720" si="261">M285</f>
        <v>4.22</v>
      </c>
      <c r="N714" s="132"/>
      <c r="O714" s="28">
        <f>ROUND(M714*$E714,0)</f>
        <v>0</v>
      </c>
      <c r="Q714" s="130"/>
      <c r="R714" s="132"/>
      <c r="S714" s="28"/>
      <c r="T714" s="28"/>
      <c r="U714" s="247"/>
      <c r="X714" s="45">
        <f t="shared" ref="X714:X720" si="262">M714/G714-1</f>
        <v>0.11936339522546402</v>
      </c>
    </row>
    <row r="715" spans="1:24">
      <c r="A715" s="40" t="s">
        <v>136</v>
      </c>
      <c r="C715" s="407">
        <v>0</v>
      </c>
      <c r="E715" s="407">
        <f>ROUND(C715*$E$728/$C$728,0)</f>
        <v>0</v>
      </c>
      <c r="G715" s="445">
        <v>12.33</v>
      </c>
      <c r="H715" s="426"/>
      <c r="I715" s="421">
        <f>ROUND(G715*$C715,0)</f>
        <v>0</v>
      </c>
      <c r="K715" s="421">
        <f>ROUND(G715*$E715,0)</f>
        <v>0</v>
      </c>
      <c r="M715" s="133">
        <f t="shared" si="261"/>
        <v>13.81</v>
      </c>
      <c r="N715" s="132"/>
      <c r="O715" s="28">
        <f>ROUND(M715*$E715,0)</f>
        <v>0</v>
      </c>
      <c r="Q715" s="83">
        <f t="shared" ref="Q715:Q720" si="263">$W$289</f>
        <v>-3.32E-2</v>
      </c>
      <c r="R715" s="42"/>
      <c r="S715" s="28">
        <f t="shared" ref="S715:S720" si="264">O715*Q715*254/365</f>
        <v>0</v>
      </c>
      <c r="T715" s="28"/>
      <c r="U715" s="247"/>
      <c r="X715" s="45">
        <f t="shared" si="262"/>
        <v>0.12003244120032441</v>
      </c>
    </row>
    <row r="716" spans="1:24">
      <c r="A716" s="40" t="s">
        <v>137</v>
      </c>
      <c r="C716" s="407">
        <v>13800</v>
      </c>
      <c r="E716" s="407">
        <f>ROUND(C716*$E$728/$C$728,0)</f>
        <v>13268</v>
      </c>
      <c r="G716" s="445">
        <v>8.8800000000000008</v>
      </c>
      <c r="H716" s="426"/>
      <c r="I716" s="421">
        <f>ROUND(G716*$C716,0)</f>
        <v>122544</v>
      </c>
      <c r="K716" s="421">
        <f>ROUND(G716*$E716,0)</f>
        <v>117820</v>
      </c>
      <c r="M716" s="133">
        <f t="shared" si="261"/>
        <v>9.94</v>
      </c>
      <c r="N716" s="132"/>
      <c r="O716" s="28">
        <f>ROUND(M716*$E716,0)</f>
        <v>131884</v>
      </c>
      <c r="Q716" s="83">
        <f t="shared" si="263"/>
        <v>-3.32E-2</v>
      </c>
      <c r="R716" s="42"/>
      <c r="S716" s="28">
        <f t="shared" si="264"/>
        <v>-3046.9901238356169</v>
      </c>
      <c r="T716" s="28"/>
      <c r="U716" s="247"/>
      <c r="X716" s="45">
        <f t="shared" si="262"/>
        <v>0.11936936936936915</v>
      </c>
    </row>
    <row r="717" spans="1:24">
      <c r="A717" s="40" t="s">
        <v>64</v>
      </c>
      <c r="C717" s="407">
        <v>13800</v>
      </c>
      <c r="E717" s="407">
        <f>ROUND(C717*$E$728/$C$728,0)</f>
        <v>13268</v>
      </c>
      <c r="G717" s="445">
        <v>-0.9</v>
      </c>
      <c r="H717" s="426"/>
      <c r="I717" s="421">
        <f>ROUND(G717*$C717,0)</f>
        <v>-12420</v>
      </c>
      <c r="K717" s="421">
        <f>ROUND(G717*$E717,0)</f>
        <v>-11941</v>
      </c>
      <c r="M717" s="133">
        <f t="shared" si="261"/>
        <v>-1.01</v>
      </c>
      <c r="N717" s="132"/>
      <c r="O717" s="28">
        <f>ROUND(M717*$E717,0)</f>
        <v>-13401</v>
      </c>
      <c r="Q717" s="83"/>
      <c r="R717" s="42"/>
      <c r="S717" s="28"/>
      <c r="T717" s="28"/>
      <c r="U717" s="247"/>
      <c r="X717" s="45">
        <f t="shared" si="262"/>
        <v>0.12222222222222223</v>
      </c>
    </row>
    <row r="718" spans="1:24">
      <c r="A718" s="40" t="s">
        <v>53</v>
      </c>
      <c r="C718" s="407">
        <v>885292</v>
      </c>
      <c r="E718" s="407">
        <f>ROUND(C718*$E$728/($C$728-$C$701),0)</f>
        <v>853682</v>
      </c>
      <c r="G718" s="444">
        <v>4.0021000000000004</v>
      </c>
      <c r="H718" s="424" t="s">
        <v>17</v>
      </c>
      <c r="I718" s="421">
        <f>ROUND(G718*$C718/100,0)</f>
        <v>35430</v>
      </c>
      <c r="K718" s="421">
        <f>ROUND(G718*$E718/100,0)</f>
        <v>34165</v>
      </c>
      <c r="M718" s="129">
        <f t="shared" si="261"/>
        <v>4.4812000000000003</v>
      </c>
      <c r="N718" s="48" t="s">
        <v>17</v>
      </c>
      <c r="O718" s="28">
        <f>ROUND(M718*$E718/100,0)</f>
        <v>38255</v>
      </c>
      <c r="Q718" s="83">
        <f t="shared" si="263"/>
        <v>-3.32E-2</v>
      </c>
      <c r="R718" s="42"/>
      <c r="S718" s="28">
        <f t="shared" si="264"/>
        <v>-883.82675068493154</v>
      </c>
      <c r="T718" s="28"/>
      <c r="U718" s="247"/>
      <c r="X718" s="45">
        <f t="shared" si="262"/>
        <v>0.11971215112066158</v>
      </c>
    </row>
    <row r="719" spans="1:24">
      <c r="A719" s="40" t="s">
        <v>92</v>
      </c>
      <c r="C719" s="407">
        <v>4058710</v>
      </c>
      <c r="E719" s="407">
        <f>ROUND(C719*$E$728/($C$728-$C$701),0)</f>
        <v>3913793</v>
      </c>
      <c r="G719" s="444">
        <v>3.1328</v>
      </c>
      <c r="H719" s="424" t="s">
        <v>17</v>
      </c>
      <c r="I719" s="421">
        <f>ROUND(G719*$C719/100,0)</f>
        <v>127151</v>
      </c>
      <c r="K719" s="421">
        <f>ROUND(G719*$E719/100,0)</f>
        <v>122611</v>
      </c>
      <c r="M719" s="129">
        <f t="shared" si="261"/>
        <v>3.5078</v>
      </c>
      <c r="N719" s="48" t="s">
        <v>17</v>
      </c>
      <c r="O719" s="28">
        <f>ROUND(M719*$E719/100,0)</f>
        <v>137288</v>
      </c>
      <c r="Q719" s="83">
        <f t="shared" si="263"/>
        <v>-3.32E-2</v>
      </c>
      <c r="R719" s="42"/>
      <c r="S719" s="28">
        <f t="shared" si="264"/>
        <v>-3171.8417709589035</v>
      </c>
      <c r="T719" s="28"/>
      <c r="X719" s="45">
        <f t="shared" si="262"/>
        <v>0.11970122574055164</v>
      </c>
    </row>
    <row r="720" spans="1:24">
      <c r="A720" s="40" t="s">
        <v>138</v>
      </c>
      <c r="C720" s="407">
        <v>5204749</v>
      </c>
      <c r="E720" s="407">
        <f>E728-E710-E718-E719-E725-E726-E727</f>
        <v>5018912</v>
      </c>
      <c r="G720" s="444">
        <v>2.6987000000000001</v>
      </c>
      <c r="H720" s="424" t="s">
        <v>17</v>
      </c>
      <c r="I720" s="421">
        <f>ROUND(G720*$C720/100,0)</f>
        <v>140461</v>
      </c>
      <c r="K720" s="421">
        <f>ROUND(G720*$E720/100,0)</f>
        <v>135445</v>
      </c>
      <c r="M720" s="129">
        <f t="shared" si="261"/>
        <v>3.0226999999999999</v>
      </c>
      <c r="N720" s="48" t="s">
        <v>17</v>
      </c>
      <c r="O720" s="28">
        <f>ROUND(M720*$E720/100,0)</f>
        <v>151707</v>
      </c>
      <c r="Q720" s="83">
        <f t="shared" si="263"/>
        <v>-3.32E-2</v>
      </c>
      <c r="R720" s="42"/>
      <c r="S720" s="28">
        <f t="shared" si="264"/>
        <v>-3504.9720263013701</v>
      </c>
      <c r="T720" s="28"/>
      <c r="U720" s="247"/>
      <c r="X720" s="45">
        <f t="shared" si="262"/>
        <v>0.12005780561010848</v>
      </c>
    </row>
    <row r="721" spans="1:26">
      <c r="A721" s="37" t="s">
        <v>299</v>
      </c>
      <c r="C721" s="407"/>
      <c r="E721" s="407"/>
      <c r="G721" s="445"/>
      <c r="H721" s="426"/>
      <c r="I721" s="421"/>
      <c r="K721" s="421"/>
      <c r="M721" s="133"/>
      <c r="N721" s="132"/>
      <c r="O721" s="28"/>
      <c r="Q721" s="130"/>
      <c r="R721" s="132"/>
      <c r="S721" s="28"/>
      <c r="T721" s="28"/>
      <c r="U721" s="247"/>
    </row>
    <row r="722" spans="1:26">
      <c r="A722" s="40" t="s">
        <v>135</v>
      </c>
      <c r="C722" s="407">
        <v>0</v>
      </c>
      <c r="E722" s="407">
        <f>ROUND(C722*$E$728/$C$728,0)</f>
        <v>0</v>
      </c>
      <c r="G722" s="445">
        <v>1.71</v>
      </c>
      <c r="H722" s="426"/>
      <c r="I722" s="421">
        <f>ROUND(G722*$C722,0)</f>
        <v>0</v>
      </c>
      <c r="K722" s="421">
        <f>ROUND(G722*$E722,0)</f>
        <v>0</v>
      </c>
      <c r="M722" s="133">
        <f t="shared" ref="M722:M727" si="265">M327</f>
        <v>1.94</v>
      </c>
      <c r="N722" s="132"/>
      <c r="O722" s="28">
        <f>ROUND(M722*$E722,0)</f>
        <v>0</v>
      </c>
      <c r="Q722" s="130"/>
      <c r="R722" s="132"/>
      <c r="S722" s="28"/>
      <c r="T722" s="28"/>
      <c r="U722" s="247"/>
      <c r="W722"/>
      <c r="X722" s="45">
        <f t="shared" ref="X722:X727" si="266">M722/G722-1</f>
        <v>0.13450292397660824</v>
      </c>
    </row>
    <row r="723" spans="1:26">
      <c r="A723" s="40" t="s">
        <v>136</v>
      </c>
      <c r="C723" s="407">
        <v>0</v>
      </c>
      <c r="E723" s="407">
        <f>ROUND(C723*$E$728/$C$728,0)</f>
        <v>0</v>
      </c>
      <c r="G723" s="445">
        <v>10.76</v>
      </c>
      <c r="H723" s="426"/>
      <c r="I723" s="421">
        <f>ROUND(G723*$C723,0)</f>
        <v>0</v>
      </c>
      <c r="K723" s="421">
        <f>ROUND(G723*$E723,0)</f>
        <v>0</v>
      </c>
      <c r="M723" s="133">
        <f t="shared" si="265"/>
        <v>12.18</v>
      </c>
      <c r="N723" s="132"/>
      <c r="O723" s="28">
        <f>ROUND(M723*$E723,0)</f>
        <v>0</v>
      </c>
      <c r="Q723" s="130">
        <f t="shared" ref="Q723:Q727" si="267">Q328</f>
        <v>-3.73E-2</v>
      </c>
      <c r="R723" s="132"/>
      <c r="S723" s="28">
        <f t="shared" ref="S723:S727" si="268">O723*Q723*254/365</f>
        <v>0</v>
      </c>
      <c r="T723" s="79"/>
      <c r="U723" s="247"/>
      <c r="X723" s="45">
        <f t="shared" si="266"/>
        <v>0.13197026022304836</v>
      </c>
    </row>
    <row r="724" spans="1:26">
      <c r="A724" s="40" t="s">
        <v>137</v>
      </c>
      <c r="C724" s="407">
        <v>0</v>
      </c>
      <c r="E724" s="407">
        <f>ROUND(C724*$E$728/$C$728,0)</f>
        <v>0</v>
      </c>
      <c r="G724" s="445">
        <v>7.3</v>
      </c>
      <c r="H724" s="426"/>
      <c r="I724" s="421">
        <f>ROUND(G724*$C724,0)</f>
        <v>0</v>
      </c>
      <c r="K724" s="421">
        <f>ROUND(G724*$E724,0)</f>
        <v>0</v>
      </c>
      <c r="M724" s="133">
        <f t="shared" si="265"/>
        <v>8.26</v>
      </c>
      <c r="N724" s="132"/>
      <c r="O724" s="28">
        <f>ROUND(M724*$E724,0)</f>
        <v>0</v>
      </c>
      <c r="Q724" s="130">
        <f t="shared" si="267"/>
        <v>-3.73E-2</v>
      </c>
      <c r="R724" s="132"/>
      <c r="S724" s="28">
        <f t="shared" si="268"/>
        <v>0</v>
      </c>
      <c r="T724" s="79"/>
      <c r="U724" s="247"/>
      <c r="X724" s="45">
        <f t="shared" si="266"/>
        <v>0.1315068493150684</v>
      </c>
      <c r="Y724"/>
    </row>
    <row r="725" spans="1:26">
      <c r="A725" s="40" t="s">
        <v>145</v>
      </c>
      <c r="C725" s="407">
        <v>0</v>
      </c>
      <c r="E725" s="407">
        <f>ROUND(C725*$E$728/($C$728-$C$701),0)</f>
        <v>0</v>
      </c>
      <c r="G725" s="447">
        <v>3.5857999999999999</v>
      </c>
      <c r="H725" s="424" t="s">
        <v>17</v>
      </c>
      <c r="I725" s="421">
        <f>ROUND(G725*$C725/100,0)</f>
        <v>0</v>
      </c>
      <c r="K725" s="421">
        <f>ROUND(G725*$E725/100,0)</f>
        <v>0</v>
      </c>
      <c r="M725" s="157">
        <f t="shared" si="265"/>
        <v>4.0587999999999997</v>
      </c>
      <c r="N725" s="48" t="s">
        <v>17</v>
      </c>
      <c r="O725" s="28">
        <f>ROUND(M725*$E725/100,0)</f>
        <v>0</v>
      </c>
      <c r="Q725" s="130">
        <f t="shared" si="267"/>
        <v>-3.73E-2</v>
      </c>
      <c r="R725" s="48"/>
      <c r="S725" s="28">
        <f t="shared" si="268"/>
        <v>0</v>
      </c>
      <c r="T725" s="79"/>
      <c r="U725" s="247"/>
      <c r="X725" s="45">
        <f t="shared" si="266"/>
        <v>0.13190919738970375</v>
      </c>
    </row>
    <row r="726" spans="1:26">
      <c r="A726" s="40" t="s">
        <v>146</v>
      </c>
      <c r="C726" s="407">
        <v>0</v>
      </c>
      <c r="E726" s="407">
        <f>ROUND(C726*$E$728/($C$728-$C$701),0)</f>
        <v>0</v>
      </c>
      <c r="G726" s="447">
        <v>2.6962999999999999</v>
      </c>
      <c r="H726" s="424" t="s">
        <v>17</v>
      </c>
      <c r="I726" s="421">
        <f>ROUND(G726*$C726/100,0)</f>
        <v>0</v>
      </c>
      <c r="K726" s="421">
        <f>ROUND(G726*$E726/100,0)</f>
        <v>0</v>
      </c>
      <c r="M726" s="157">
        <f t="shared" si="265"/>
        <v>3.052</v>
      </c>
      <c r="N726" s="48" t="s">
        <v>17</v>
      </c>
      <c r="O726" s="28">
        <f>ROUND(M726*$E726/100,0)</f>
        <v>0</v>
      </c>
      <c r="Q726" s="130">
        <f t="shared" si="267"/>
        <v>-3.73E-2</v>
      </c>
      <c r="R726" s="48"/>
      <c r="S726" s="28">
        <f t="shared" si="268"/>
        <v>0</v>
      </c>
      <c r="T726" s="79"/>
      <c r="X726" s="45">
        <f t="shared" si="266"/>
        <v>0.13192152208582142</v>
      </c>
      <c r="Z726"/>
    </row>
    <row r="727" spans="1:26">
      <c r="A727" s="40" t="s">
        <v>138</v>
      </c>
      <c r="C727" s="468">
        <v>0</v>
      </c>
      <c r="E727" s="468">
        <f>ROUND(C727*$E$728/($C$728-$C$701),0)</f>
        <v>0</v>
      </c>
      <c r="G727" s="474">
        <v>2.2517999999999998</v>
      </c>
      <c r="H727" s="424" t="s">
        <v>17</v>
      </c>
      <c r="I727" s="450">
        <f>ROUND(G727*$C727/100,0)</f>
        <v>0</v>
      </c>
      <c r="K727" s="450">
        <f>ROUND(G727*$E727/100,0)</f>
        <v>0</v>
      </c>
      <c r="M727" s="249">
        <f t="shared" si="265"/>
        <v>2.5488</v>
      </c>
      <c r="N727" s="48" t="s">
        <v>17</v>
      </c>
      <c r="O727" s="198">
        <f>ROUND(M727*$E727/100,0)</f>
        <v>0</v>
      </c>
      <c r="Q727" s="250">
        <f t="shared" si="267"/>
        <v>-3.73E-2</v>
      </c>
      <c r="R727" s="48"/>
      <c r="S727" s="198">
        <f t="shared" si="268"/>
        <v>0</v>
      </c>
      <c r="W727" s="240"/>
      <c r="X727" s="45">
        <f t="shared" si="266"/>
        <v>0.13189448441247009</v>
      </c>
    </row>
    <row r="728" spans="1:26" ht="16.5" thickBot="1">
      <c r="A728" s="40" t="s">
        <v>300</v>
      </c>
      <c r="C728" s="441">
        <f>C702+C710+C718+C719+C720+C725+C726+C727</f>
        <v>10178431</v>
      </c>
      <c r="E728" s="441">
        <v>9786387</v>
      </c>
      <c r="G728" s="439"/>
      <c r="I728" s="440">
        <f>I702+SUM(I707:I727)</f>
        <v>670724</v>
      </c>
      <c r="K728" s="440">
        <f>K702+SUM(K707:K727)</f>
        <v>643119</v>
      </c>
      <c r="M728" s="115"/>
      <c r="O728" s="114">
        <f>O702+SUM(O707:O727)</f>
        <v>720089</v>
      </c>
      <c r="Q728" s="116"/>
      <c r="S728" s="114">
        <f>S702+SUM(S707:S727)</f>
        <v>-10607.630671780822</v>
      </c>
      <c r="U728" s="27" t="s">
        <v>26</v>
      </c>
      <c r="V728" s="108">
        <f>O728/K728-1</f>
        <v>0.1196823604962689</v>
      </c>
    </row>
    <row r="729" spans="1:26" ht="16.5" thickTop="1">
      <c r="A729" s="40" t="s">
        <v>301</v>
      </c>
      <c r="C729" s="407"/>
      <c r="E729" s="407"/>
      <c r="G729" s="433"/>
      <c r="H729" s="434"/>
      <c r="I729" s="429">
        <v>33083.779199999997</v>
      </c>
      <c r="K729" s="429">
        <f>I729</f>
        <v>33083.779199999997</v>
      </c>
      <c r="M729" s="36"/>
      <c r="N729" s="99"/>
      <c r="O729" s="89">
        <v>0</v>
      </c>
      <c r="Q729" s="36"/>
      <c r="R729" s="99"/>
      <c r="S729" s="89"/>
      <c r="U729" s="27" t="s">
        <v>48</v>
      </c>
      <c r="V729" s="123">
        <f>(O728+O729)/(K728+K729)-1</f>
        <v>6.4900976674365118E-2</v>
      </c>
      <c r="W729" s="240"/>
      <c r="X729" s="240"/>
      <c r="Y729" s="28"/>
    </row>
    <row r="730" spans="1:26">
      <c r="A730" s="40" t="s">
        <v>302</v>
      </c>
      <c r="C730" s="407"/>
      <c r="E730" s="407"/>
      <c r="G730" s="433"/>
      <c r="H730" s="434"/>
      <c r="I730" s="429">
        <f>SUM(I707:I710)*$G$127+SUM(I715:I720)*$G$295+SUM(I722:I727)*$G$336+I704</f>
        <v>24646.142</v>
      </c>
      <c r="K730" s="429">
        <f>SUM(K707:K710)*$G$127+SUM(K715:K720)*$G$295+SUM(K722:K727)*$G$336+K704</f>
        <v>23727.699999999997</v>
      </c>
      <c r="M730" s="119"/>
      <c r="N730" s="118"/>
      <c r="O730" s="89">
        <f>(SUM(O707:O712)*$G$127+SUM(O715:O720)*$G$295+SUM(O722:O727)*$G$336)+O704</f>
        <v>26568.120999999999</v>
      </c>
      <c r="Q730" s="119"/>
      <c r="R730" s="118"/>
      <c r="S730" s="89"/>
      <c r="T730" s="28"/>
    </row>
    <row r="731" spans="1:26">
      <c r="T731" s="28"/>
      <c r="W731" s="240"/>
      <c r="X731" s="240"/>
      <c r="Y731" s="28"/>
      <c r="Z731" s="120"/>
    </row>
    <row r="732" spans="1:26">
      <c r="A732" s="37" t="s">
        <v>303</v>
      </c>
      <c r="C732" s="407"/>
      <c r="E732" s="407"/>
      <c r="G732" s="444"/>
      <c r="H732" s="443"/>
      <c r="M732" s="129"/>
      <c r="N732" s="125"/>
      <c r="Q732" s="130"/>
      <c r="R732" s="125"/>
      <c r="T732" s="28"/>
      <c r="U732"/>
      <c r="V732"/>
    </row>
    <row r="733" spans="1:26">
      <c r="A733" s="229" t="s">
        <v>286</v>
      </c>
      <c r="C733" s="407"/>
      <c r="E733" s="407"/>
      <c r="T733" s="28"/>
      <c r="U733" s="101"/>
      <c r="V733" s="135"/>
      <c r="X733" s="240"/>
      <c r="Y733" s="28"/>
      <c r="Z733" s="120"/>
    </row>
    <row r="734" spans="1:26">
      <c r="A734" s="40" t="s">
        <v>287</v>
      </c>
      <c r="C734" s="407"/>
      <c r="E734" s="407"/>
      <c r="G734" s="237">
        <v>104</v>
      </c>
      <c r="H734" s="420"/>
      <c r="I734" s="421">
        <f>ROUND(G734*$C734,0)</f>
        <v>0</v>
      </c>
      <c r="K734" s="421">
        <f>ROUND(G734*$E734,0)</f>
        <v>0</v>
      </c>
      <c r="M734" s="41">
        <f>M681</f>
        <v>116</v>
      </c>
      <c r="N734" s="42"/>
      <c r="O734" s="28">
        <f>ROUND(M734*$E734,0)</f>
        <v>0</v>
      </c>
      <c r="Q734" s="83"/>
      <c r="R734" s="42"/>
      <c r="S734" s="28"/>
      <c r="T734" s="28"/>
      <c r="W734" s="240"/>
      <c r="X734" s="45">
        <f t="shared" ref="X734:X735" si="269">M734/G734-1</f>
        <v>0.11538461538461542</v>
      </c>
    </row>
    <row r="735" spans="1:26">
      <c r="A735" s="40" t="s">
        <v>288</v>
      </c>
      <c r="C735" s="407"/>
      <c r="E735" s="407"/>
      <c r="G735" s="237">
        <v>3.81</v>
      </c>
      <c r="H735" s="420"/>
      <c r="I735" s="421">
        <f>ROUND(G735*$C735,0)</f>
        <v>0</v>
      </c>
      <c r="K735" s="421">
        <f>ROUND(G735*$E735,0)</f>
        <v>0</v>
      </c>
      <c r="M735" s="41">
        <f>M682</f>
        <v>4.26</v>
      </c>
      <c r="N735" s="42"/>
      <c r="O735" s="28">
        <f>ROUND(M735*$E735,0)</f>
        <v>0</v>
      </c>
      <c r="Q735" s="83"/>
      <c r="R735" s="42"/>
      <c r="S735" s="28"/>
      <c r="T735" s="28"/>
      <c r="U735" s="245"/>
      <c r="V735" s="135"/>
      <c r="X735" s="45">
        <f t="shared" si="269"/>
        <v>0.11811023622047245</v>
      </c>
      <c r="Z735" s="120"/>
    </row>
    <row r="736" spans="1:26">
      <c r="A736" s="40" t="s">
        <v>289</v>
      </c>
      <c r="C736" s="407"/>
      <c r="E736" s="407"/>
      <c r="G736" s="445"/>
      <c r="H736" s="426"/>
      <c r="I736" s="421"/>
      <c r="K736" s="421"/>
      <c r="M736" s="78"/>
      <c r="N736" s="132"/>
      <c r="O736" s="28"/>
      <c r="Q736" s="80"/>
      <c r="R736" s="132"/>
      <c r="S736" s="28"/>
      <c r="U736" s="101"/>
      <c r="W736" s="240"/>
      <c r="X736" s="240"/>
      <c r="Y736" s="28"/>
    </row>
    <row r="737" spans="1:26">
      <c r="A737" s="40" t="s">
        <v>290</v>
      </c>
      <c r="C737" s="407"/>
      <c r="E737" s="407"/>
      <c r="G737" s="470">
        <v>0.52439999999999998</v>
      </c>
      <c r="H737" s="471"/>
      <c r="I737" s="421">
        <f>ROUND(G737*$C737,0)</f>
        <v>0</v>
      </c>
      <c r="K737" s="421">
        <f>ROUND(G737*$E737,0)</f>
        <v>0</v>
      </c>
      <c r="M737" s="241">
        <f>M684</f>
        <v>0.58679999999999999</v>
      </c>
      <c r="N737" s="242"/>
      <c r="O737" s="28">
        <f>ROUND(M737*$E737,0)</f>
        <v>0</v>
      </c>
      <c r="Q737" s="83"/>
      <c r="R737" s="242"/>
      <c r="S737" s="28"/>
      <c r="T737" s="28"/>
      <c r="U737" s="101"/>
      <c r="V737" s="135"/>
      <c r="W737" s="240"/>
      <c r="X737" s="45">
        <f t="shared" ref="X737:X739" si="270">M737/G737-1</f>
        <v>0.11899313501144171</v>
      </c>
    </row>
    <row r="738" spans="1:26">
      <c r="A738" s="40" t="s">
        <v>291</v>
      </c>
      <c r="C738" s="407"/>
      <c r="E738" s="407"/>
      <c r="G738" s="472">
        <v>0.26219999999999999</v>
      </c>
      <c r="H738" s="473"/>
      <c r="I738" s="421">
        <f>ROUND(G738*$C738,0)</f>
        <v>0</v>
      </c>
      <c r="K738" s="421">
        <f>ROUND(G738*$E738,0)</f>
        <v>0</v>
      </c>
      <c r="M738" s="243">
        <f>M685</f>
        <v>0.29339999999999999</v>
      </c>
      <c r="N738" s="244"/>
      <c r="O738" s="28">
        <f>ROUND(M738*$E738,0)</f>
        <v>0</v>
      </c>
      <c r="Q738" s="80"/>
      <c r="R738" s="244"/>
      <c r="S738" s="28"/>
      <c r="T738" s="28"/>
      <c r="W738" s="240"/>
      <c r="X738" s="45">
        <f t="shared" si="270"/>
        <v>0.11899313501144171</v>
      </c>
      <c r="Y738" s="28"/>
      <c r="Z738" s="120"/>
    </row>
    <row r="739" spans="1:26">
      <c r="A739" s="40" t="s">
        <v>293</v>
      </c>
      <c r="C739" s="407"/>
      <c r="E739" s="407"/>
      <c r="G739" s="237">
        <v>49.4</v>
      </c>
      <c r="H739" s="420"/>
      <c r="I739" s="421">
        <f>ROUND(G739*$C739,0)</f>
        <v>0</v>
      </c>
      <c r="K739" s="421">
        <f>ROUND(G739*$E739,0)</f>
        <v>0</v>
      </c>
      <c r="M739" s="41">
        <f>M686</f>
        <v>55.28</v>
      </c>
      <c r="N739" s="42"/>
      <c r="O739" s="28">
        <f>ROUND(M739*$E739,0)</f>
        <v>0</v>
      </c>
      <c r="Q739" s="83"/>
      <c r="R739" s="42"/>
      <c r="S739" s="28"/>
      <c r="T739" s="28"/>
      <c r="X739" s="45">
        <f t="shared" si="270"/>
        <v>0.11902834008097174</v>
      </c>
      <c r="Y739" s="28"/>
    </row>
    <row r="740" spans="1:26">
      <c r="A740" s="229" t="s">
        <v>294</v>
      </c>
      <c r="C740" s="407"/>
      <c r="E740" s="407"/>
      <c r="M740" s="15"/>
      <c r="Q740" s="141"/>
      <c r="T740" s="28"/>
      <c r="U740" s="101"/>
      <c r="V740" s="135"/>
      <c r="X740" s="240"/>
      <c r="Y740" s="28"/>
      <c r="Z740" s="120"/>
    </row>
    <row r="741" spans="1:26">
      <c r="A741" s="40" t="s">
        <v>287</v>
      </c>
      <c r="C741" s="407">
        <v>0</v>
      </c>
      <c r="E741" s="407"/>
      <c r="G741" s="237">
        <v>471</v>
      </c>
      <c r="H741" s="420"/>
      <c r="I741" s="421">
        <f>ROUND(G741*$C741,0)</f>
        <v>0</v>
      </c>
      <c r="K741" s="421">
        <f>ROUND(G741*$E741,0)</f>
        <v>0</v>
      </c>
      <c r="M741" s="41">
        <f>M688</f>
        <v>527</v>
      </c>
      <c r="N741" s="42"/>
      <c r="O741" s="28">
        <f>ROUND(M741*$E741,0)</f>
        <v>0</v>
      </c>
      <c r="Q741" s="83"/>
      <c r="R741" s="42"/>
      <c r="S741" s="28"/>
      <c r="T741" s="28"/>
      <c r="W741" s="240"/>
      <c r="X741" s="45">
        <f t="shared" ref="X741:X742" si="271">M741/G741-1</f>
        <v>0.11889596602972397</v>
      </c>
      <c r="Z741" s="120"/>
    </row>
    <row r="742" spans="1:26">
      <c r="A742" s="40" t="s">
        <v>288</v>
      </c>
      <c r="C742" s="407">
        <v>0</v>
      </c>
      <c r="E742" s="407"/>
      <c r="G742" s="237">
        <v>2.99</v>
      </c>
      <c r="H742" s="420"/>
      <c r="I742" s="421">
        <f>ROUND(G742*$C742,0)</f>
        <v>0</v>
      </c>
      <c r="K742" s="421">
        <f>ROUND(G742*$E742,0)</f>
        <v>0</v>
      </c>
      <c r="M742" s="41">
        <f>M689</f>
        <v>3.35</v>
      </c>
      <c r="N742" s="42"/>
      <c r="O742" s="28">
        <f>ROUND(M742*$E742,0)</f>
        <v>0</v>
      </c>
      <c r="Q742" s="83"/>
      <c r="R742" s="42"/>
      <c r="S742" s="28"/>
      <c r="T742" s="28"/>
      <c r="U742" s="245"/>
      <c r="V742" s="135"/>
      <c r="X742" s="45">
        <f t="shared" si="271"/>
        <v>0.12040133779264206</v>
      </c>
      <c r="Z742" s="120"/>
    </row>
    <row r="743" spans="1:26">
      <c r="A743" s="40" t="s">
        <v>289</v>
      </c>
      <c r="C743" s="407"/>
      <c r="E743" s="407"/>
      <c r="G743" s="237"/>
      <c r="H743" s="420"/>
      <c r="I743" s="421"/>
      <c r="K743" s="421"/>
      <c r="M743" s="41"/>
      <c r="N743" s="42"/>
      <c r="O743" s="28"/>
      <c r="Q743" s="83"/>
      <c r="R743" s="42"/>
      <c r="S743" s="28"/>
      <c r="U743" s="101"/>
      <c r="W743" s="240"/>
      <c r="X743" s="240"/>
      <c r="Y743" s="28"/>
    </row>
    <row r="744" spans="1:26">
      <c r="A744" s="40" t="s">
        <v>290</v>
      </c>
      <c r="C744" s="407">
        <v>0</v>
      </c>
      <c r="E744" s="407"/>
      <c r="G744" s="470">
        <v>0.51019999999999999</v>
      </c>
      <c r="H744" s="471"/>
      <c r="I744" s="421">
        <f>ROUND(G744*$C744,0)</f>
        <v>0</v>
      </c>
      <c r="K744" s="421">
        <f>ROUND(G744*$E744,0)</f>
        <v>0</v>
      </c>
      <c r="M744" s="241">
        <f>M691</f>
        <v>0.57099999999999995</v>
      </c>
      <c r="N744" s="242"/>
      <c r="O744" s="28">
        <f>ROUND(M744*$E744,0)</f>
        <v>0</v>
      </c>
      <c r="Q744" s="83"/>
      <c r="R744" s="242"/>
      <c r="S744" s="28"/>
      <c r="T744" s="28"/>
      <c r="U744" s="101"/>
      <c r="V744" s="135"/>
      <c r="X744" s="45">
        <f t="shared" ref="X744:X746" si="272">M744/G744-1</f>
        <v>0.11916895335162669</v>
      </c>
    </row>
    <row r="745" spans="1:26">
      <c r="A745" s="40" t="s">
        <v>291</v>
      </c>
      <c r="C745" s="407">
        <v>0</v>
      </c>
      <c r="E745" s="407"/>
      <c r="G745" s="472">
        <v>0.25509999999999999</v>
      </c>
      <c r="H745" s="473"/>
      <c r="I745" s="421">
        <f>ROUND(G745*$C745,0)</f>
        <v>0</v>
      </c>
      <c r="K745" s="421">
        <f>ROUND(G745*$E745,0)</f>
        <v>0</v>
      </c>
      <c r="M745" s="243">
        <f>M692</f>
        <v>0.28549999999999998</v>
      </c>
      <c r="N745" s="244"/>
      <c r="O745" s="28">
        <f>ROUND(M745*$E745,0)</f>
        <v>0</v>
      </c>
      <c r="Q745" s="80"/>
      <c r="R745" s="244"/>
      <c r="S745" s="28"/>
      <c r="T745" s="28"/>
      <c r="W745" s="240"/>
      <c r="X745" s="45">
        <f t="shared" si="272"/>
        <v>0.11916895335162669</v>
      </c>
      <c r="Y745" s="28"/>
      <c r="Z745" s="120"/>
    </row>
    <row r="746" spans="1:26">
      <c r="A746" s="40" t="s">
        <v>293</v>
      </c>
      <c r="C746" s="407">
        <v>0</v>
      </c>
      <c r="E746" s="407"/>
      <c r="G746" s="237">
        <v>35.6</v>
      </c>
      <c r="H746" s="420"/>
      <c r="I746" s="421">
        <f>ROUND(G746*$C746,0)</f>
        <v>0</v>
      </c>
      <c r="K746" s="421">
        <f>ROUND(G746*$E746,0)</f>
        <v>0</v>
      </c>
      <c r="M746" s="41">
        <f>M693</f>
        <v>39.840000000000003</v>
      </c>
      <c r="N746" s="42"/>
      <c r="O746" s="28">
        <f>ROUND(M746*$E746,0)</f>
        <v>0</v>
      </c>
      <c r="Q746" s="83"/>
      <c r="R746" s="42"/>
      <c r="S746" s="28"/>
      <c r="T746" s="28"/>
      <c r="X746" s="45">
        <f t="shared" si="272"/>
        <v>0.11910112359550573</v>
      </c>
    </row>
    <row r="747" spans="1:26">
      <c r="A747" s="229" t="s">
        <v>295</v>
      </c>
      <c r="C747" s="407"/>
      <c r="E747" s="407"/>
      <c r="M747" s="15"/>
      <c r="Q747" s="141"/>
      <c r="T747" s="28"/>
      <c r="U747" s="101"/>
      <c r="V747" s="135"/>
      <c r="W747" s="86"/>
      <c r="X747" s="240"/>
      <c r="Y747" s="28"/>
      <c r="Z747" s="120"/>
    </row>
    <row r="748" spans="1:26">
      <c r="A748" s="40" t="s">
        <v>287</v>
      </c>
      <c r="C748" s="407">
        <v>6.0000001473812201</v>
      </c>
      <c r="E748" s="407">
        <v>12</v>
      </c>
      <c r="G748" s="237">
        <v>527</v>
      </c>
      <c r="H748" s="420"/>
      <c r="I748" s="421">
        <f>ROUND(G748*$C748,0)</f>
        <v>3162</v>
      </c>
      <c r="K748" s="421">
        <f>ROUND(G748*$E748,0)</f>
        <v>6324</v>
      </c>
      <c r="M748" s="41">
        <f>M695</f>
        <v>590</v>
      </c>
      <c r="N748" s="42"/>
      <c r="O748" s="28">
        <f>ROUND(M748*$E748,0)</f>
        <v>7080</v>
      </c>
      <c r="Q748" s="83"/>
      <c r="R748" s="42"/>
      <c r="S748" s="28"/>
      <c r="T748" s="28"/>
      <c r="X748" s="45">
        <f t="shared" ref="X748:X749" si="273">M748/G748-1</f>
        <v>0.11954459203036061</v>
      </c>
      <c r="Y748" s="28"/>
      <c r="Z748" s="120"/>
    </row>
    <row r="749" spans="1:26">
      <c r="A749" s="40" t="s">
        <v>288</v>
      </c>
      <c r="C749" s="407">
        <v>109499.996031184</v>
      </c>
      <c r="E749" s="407">
        <f>ROUND(C749*$E$781/$C$781,0)</f>
        <v>42561</v>
      </c>
      <c r="G749" s="237">
        <v>1.7</v>
      </c>
      <c r="H749" s="420"/>
      <c r="I749" s="421">
        <f>ROUND(G749*$C749,0)</f>
        <v>186150</v>
      </c>
      <c r="K749" s="421">
        <f>ROUND(G749*$E749,0)</f>
        <v>72354</v>
      </c>
      <c r="M749" s="41">
        <f>M696</f>
        <v>1.9</v>
      </c>
      <c r="N749" s="100"/>
      <c r="O749" s="28">
        <f>ROUND(M749*$E749,0)</f>
        <v>80866</v>
      </c>
      <c r="Q749" s="83"/>
      <c r="R749" s="100"/>
      <c r="S749" s="28"/>
      <c r="T749" s="28"/>
      <c r="U749" s="245"/>
      <c r="V749" s="135"/>
      <c r="X749" s="45">
        <f t="shared" si="273"/>
        <v>0.11764705882352944</v>
      </c>
      <c r="Y749" s="28"/>
      <c r="Z749" s="120"/>
    </row>
    <row r="750" spans="1:26">
      <c r="A750" s="40" t="s">
        <v>289</v>
      </c>
      <c r="C750" s="407"/>
      <c r="E750" s="407"/>
      <c r="G750" s="445"/>
      <c r="H750" s="426"/>
      <c r="I750" s="421"/>
      <c r="K750" s="421"/>
      <c r="M750" s="78"/>
      <c r="N750" s="132"/>
      <c r="O750" s="28"/>
      <c r="Q750" s="80"/>
      <c r="R750" s="132"/>
      <c r="S750" s="28"/>
      <c r="T750" s="79"/>
      <c r="U750" s="101"/>
      <c r="Z750" s="120"/>
    </row>
    <row r="751" spans="1:26">
      <c r="A751" s="40" t="s">
        <v>290</v>
      </c>
      <c r="C751" s="407">
        <v>113520.99942716199</v>
      </c>
      <c r="E751" s="407">
        <f t="shared" ref="E751:E753" si="274">ROUND(C751*$E$781/$C$781,0)</f>
        <v>44124</v>
      </c>
      <c r="G751" s="470">
        <v>0.40079999999999999</v>
      </c>
      <c r="H751" s="471"/>
      <c r="I751" s="421">
        <f>ROUND(G751*$C751,0)</f>
        <v>45499</v>
      </c>
      <c r="K751" s="421">
        <f>ROUND(G751*$E751,0)</f>
        <v>17685</v>
      </c>
      <c r="M751" s="241">
        <f>M698</f>
        <v>0.44850000000000001</v>
      </c>
      <c r="N751" s="242"/>
      <c r="O751" s="28">
        <f>ROUND(M751*$E751,0)</f>
        <v>19790</v>
      </c>
      <c r="Q751" s="83"/>
      <c r="R751" s="242"/>
      <c r="S751" s="28"/>
      <c r="T751" s="79"/>
      <c r="U751" s="101"/>
      <c r="V751" s="135"/>
      <c r="X751" s="45">
        <f t="shared" ref="X751:X753" si="275">M751/G751-1</f>
        <v>0.11901197604790426</v>
      </c>
      <c r="Y751" s="28"/>
      <c r="Z751"/>
    </row>
    <row r="752" spans="1:26">
      <c r="A752" s="40" t="s">
        <v>291</v>
      </c>
      <c r="C752" s="407">
        <v>0</v>
      </c>
      <c r="E752" s="407">
        <f t="shared" si="274"/>
        <v>0</v>
      </c>
      <c r="G752" s="472">
        <v>0.20039999999999999</v>
      </c>
      <c r="H752" s="473"/>
      <c r="I752" s="421">
        <f>ROUND(G752*$C752,0)</f>
        <v>0</v>
      </c>
      <c r="K752" s="421">
        <f>ROUND(G752*$E752,0)</f>
        <v>0</v>
      </c>
      <c r="M752" s="243">
        <f>M699</f>
        <v>0.2243</v>
      </c>
      <c r="N752" s="244"/>
      <c r="O752" s="28">
        <f>ROUND(M752*$E752,0)</f>
        <v>0</v>
      </c>
      <c r="Q752" s="80"/>
      <c r="R752" s="244"/>
      <c r="S752" s="28"/>
      <c r="T752" s="79"/>
      <c r="V752" s="135"/>
      <c r="X752" s="45">
        <f t="shared" si="275"/>
        <v>0.11926147704590817</v>
      </c>
      <c r="Y752" s="28"/>
      <c r="Z752"/>
    </row>
    <row r="753" spans="1:26">
      <c r="A753" s="40" t="s">
        <v>293</v>
      </c>
      <c r="C753" s="407">
        <v>0</v>
      </c>
      <c r="E753" s="407">
        <f t="shared" si="274"/>
        <v>0</v>
      </c>
      <c r="G753" s="237">
        <v>34.28</v>
      </c>
      <c r="H753" s="420"/>
      <c r="I753" s="421">
        <f>ROUND(G753*$C753,0)</f>
        <v>0</v>
      </c>
      <c r="K753" s="421">
        <f>ROUND(G753*$E753,0)</f>
        <v>0</v>
      </c>
      <c r="M753" s="41">
        <f>M700</f>
        <v>38.36</v>
      </c>
      <c r="N753" s="42"/>
      <c r="O753" s="28">
        <f>ROUND(M753*$E753,0)</f>
        <v>0</v>
      </c>
      <c r="Q753" s="83"/>
      <c r="R753" s="42"/>
      <c r="S753" s="28"/>
      <c r="T753" s="79"/>
      <c r="X753" s="45">
        <f t="shared" si="275"/>
        <v>0.11901983663943994</v>
      </c>
      <c r="Z753"/>
    </row>
    <row r="754" spans="1:26">
      <c r="A754" s="15" t="s">
        <v>129</v>
      </c>
      <c r="C754" s="461">
        <v>7403</v>
      </c>
      <c r="E754" s="461">
        <v>0</v>
      </c>
      <c r="G754" s="444"/>
      <c r="H754" s="443"/>
      <c r="I754" s="429">
        <v>627</v>
      </c>
      <c r="K754" s="429">
        <v>0</v>
      </c>
      <c r="M754" s="129"/>
      <c r="N754" s="125"/>
      <c r="O754" s="89">
        <v>0</v>
      </c>
      <c r="Q754" s="130"/>
      <c r="R754" s="125"/>
      <c r="S754" s="89"/>
    </row>
    <row r="755" spans="1:26" ht="16.5" thickBot="1">
      <c r="A755" s="40" t="s">
        <v>43</v>
      </c>
      <c r="C755" s="460">
        <f>C754</f>
        <v>7403</v>
      </c>
      <c r="E755" s="460">
        <f>E754</f>
        <v>0</v>
      </c>
      <c r="G755" s="439"/>
      <c r="I755" s="440">
        <f>SUM(I734:I754)</f>
        <v>235438</v>
      </c>
      <c r="K755" s="440">
        <f>SUM(K734:K754)</f>
        <v>96363</v>
      </c>
      <c r="M755" s="115"/>
      <c r="O755" s="114">
        <f>SUM(O734:O754)</f>
        <v>107736</v>
      </c>
      <c r="Q755" s="116"/>
      <c r="S755" s="114">
        <f>SUM(S734:S754)</f>
        <v>0</v>
      </c>
      <c r="T755" s="28"/>
      <c r="U755" s="27" t="s">
        <v>48</v>
      </c>
      <c r="V755" s="123">
        <f>(O755+O756)/(K755+K756)-1</f>
        <v>0.11802247750692696</v>
      </c>
    </row>
    <row r="756" spans="1:26" ht="16.5" thickTop="1">
      <c r="A756" s="40" t="s">
        <v>45</v>
      </c>
      <c r="C756" s="407"/>
      <c r="E756" s="407"/>
      <c r="G756" s="433"/>
      <c r="H756" s="434"/>
      <c r="I756" s="429"/>
      <c r="K756" s="429"/>
      <c r="M756" s="36"/>
      <c r="N756" s="99"/>
      <c r="O756" s="89"/>
      <c r="Q756" s="36"/>
      <c r="R756" s="99"/>
      <c r="S756" s="89"/>
      <c r="T756" s="28"/>
      <c r="U756" s="27"/>
      <c r="V756" s="247"/>
    </row>
    <row r="757" spans="1:26">
      <c r="A757" s="40" t="s">
        <v>46</v>
      </c>
      <c r="C757" s="407"/>
      <c r="E757" s="407"/>
      <c r="G757" s="433">
        <f>M757</f>
        <v>3.85E-2</v>
      </c>
      <c r="H757" s="434"/>
      <c r="I757" s="429">
        <f>ROUND(SUM(I735:I739,I742:I746,I749:I753,I756)*G757,0)</f>
        <v>8918</v>
      </c>
      <c r="K757" s="429">
        <f>ROUND(SUM(K735:K739,K742:K746,K749:K753,K756)*G757,0)</f>
        <v>3467</v>
      </c>
      <c r="M757" s="119">
        <f>M704</f>
        <v>3.85E-2</v>
      </c>
      <c r="N757" s="99"/>
      <c r="O757" s="89">
        <f>ROUND(SUM(O735:O739,O742:O746,O749:O753,O756)*M757,0)</f>
        <v>3875</v>
      </c>
      <c r="Q757" s="119"/>
      <c r="R757" s="99"/>
      <c r="S757" s="89"/>
      <c r="T757" s="28"/>
      <c r="U757" s="27"/>
      <c r="V757" s="247"/>
    </row>
    <row r="758" spans="1:26">
      <c r="A758" s="229" t="s">
        <v>296</v>
      </c>
      <c r="T758" s="28"/>
    </row>
    <row r="759" spans="1:26">
      <c r="A759" s="37" t="s">
        <v>297</v>
      </c>
      <c r="C759" s="407"/>
      <c r="E759" s="407"/>
      <c r="G759" s="445"/>
      <c r="H759" s="426"/>
      <c r="I759" s="421"/>
      <c r="K759" s="421"/>
      <c r="M759" s="133"/>
      <c r="N759" s="132"/>
      <c r="O759" s="28"/>
      <c r="Q759" s="130"/>
      <c r="R759" s="132"/>
      <c r="S759" s="28"/>
      <c r="T759" s="28"/>
    </row>
    <row r="760" spans="1:26">
      <c r="A760" s="40" t="s">
        <v>71</v>
      </c>
      <c r="C760" s="407">
        <v>0</v>
      </c>
      <c r="E760" s="407"/>
      <c r="G760" s="445">
        <v>15.16</v>
      </c>
      <c r="H760" s="426"/>
      <c r="I760" s="421">
        <f>ROUND(G760*$C760,0)</f>
        <v>0</v>
      </c>
      <c r="K760" s="421">
        <f>ROUND(G760*$E760,0)</f>
        <v>0</v>
      </c>
      <c r="M760" s="133">
        <f>M117</f>
        <v>16.84</v>
      </c>
      <c r="N760" s="132"/>
      <c r="O760" s="28">
        <f>ROUND(M760*$E760,0)</f>
        <v>0</v>
      </c>
      <c r="Q760" s="130">
        <f>Q117</f>
        <v>-2.7799999999999998E-2</v>
      </c>
      <c r="R760" s="132"/>
      <c r="S760" s="28">
        <f t="shared" ref="S760:S761" si="276">O760*Q760*254/365</f>
        <v>0</v>
      </c>
      <c r="T760" s="28"/>
      <c r="X760" s="45">
        <f t="shared" ref="X760:X762" si="277">M760/G760-1</f>
        <v>0.1108179419525066</v>
      </c>
    </row>
    <row r="761" spans="1:26">
      <c r="A761" s="40" t="s">
        <v>72</v>
      </c>
      <c r="C761" s="407">
        <v>0</v>
      </c>
      <c r="E761" s="407"/>
      <c r="G761" s="445">
        <v>12.17</v>
      </c>
      <c r="H761" s="426"/>
      <c r="I761" s="421">
        <f>ROUND(G761*$C761,0)</f>
        <v>0</v>
      </c>
      <c r="K761" s="421">
        <f>ROUND(G761*$E761,0)</f>
        <v>0</v>
      </c>
      <c r="M761" s="133">
        <f>M118</f>
        <v>13.52</v>
      </c>
      <c r="N761" s="132"/>
      <c r="O761" s="28">
        <f>ROUND(M761*$E761,0)</f>
        <v>0</v>
      </c>
      <c r="Q761" s="130">
        <f>Q118</f>
        <v>-2.7799999999999998E-2</v>
      </c>
      <c r="R761" s="132"/>
      <c r="S761" s="28">
        <f t="shared" si="276"/>
        <v>0</v>
      </c>
      <c r="T761" s="28"/>
      <c r="X761" s="45">
        <f t="shared" si="277"/>
        <v>0.11092851273623672</v>
      </c>
    </row>
    <row r="762" spans="1:26">
      <c r="A762" s="40" t="s">
        <v>64</v>
      </c>
      <c r="C762" s="407">
        <v>0</v>
      </c>
      <c r="E762" s="407"/>
      <c r="G762" s="445">
        <v>-0.78</v>
      </c>
      <c r="H762" s="426"/>
      <c r="I762" s="421">
        <f>ROUND(G762*$C762,0)</f>
        <v>0</v>
      </c>
      <c r="K762" s="421">
        <f>ROUND(G762*$E762,0)</f>
        <v>0</v>
      </c>
      <c r="M762" s="133">
        <f>M119</f>
        <v>-0.87</v>
      </c>
      <c r="N762" s="132"/>
      <c r="O762" s="28">
        <f>ROUND(M762*$E762,0)</f>
        <v>0</v>
      </c>
      <c r="Q762" s="130"/>
      <c r="R762" s="132"/>
      <c r="S762" s="28"/>
      <c r="T762" s="28"/>
      <c r="X762" s="45">
        <f t="shared" si="277"/>
        <v>0.11538461538461542</v>
      </c>
    </row>
    <row r="763" spans="1:26">
      <c r="A763" s="40" t="s">
        <v>59</v>
      </c>
      <c r="C763" s="407">
        <v>0</v>
      </c>
      <c r="E763" s="407"/>
      <c r="G763" s="444"/>
      <c r="H763" s="424"/>
      <c r="I763" s="421"/>
      <c r="K763" s="421"/>
      <c r="M763" s="129"/>
      <c r="N763" s="48"/>
      <c r="O763" s="28"/>
      <c r="Q763" s="130"/>
      <c r="R763" s="48"/>
      <c r="S763" s="28"/>
      <c r="T763" s="28"/>
    </row>
    <row r="764" spans="1:26">
      <c r="A764" s="40" t="s">
        <v>73</v>
      </c>
      <c r="C764" s="407">
        <v>0</v>
      </c>
      <c r="E764" s="407"/>
      <c r="G764" s="444">
        <v>3.1907000000000001</v>
      </c>
      <c r="H764" s="424" t="s">
        <v>17</v>
      </c>
      <c r="I764" s="421">
        <f>ROUND(G764*$C764/100,0)</f>
        <v>0</v>
      </c>
      <c r="K764" s="421">
        <f>ROUND(G764*$E764/100,0)</f>
        <v>0</v>
      </c>
      <c r="M764" s="129">
        <f>M121</f>
        <v>3.5438999999999998</v>
      </c>
      <c r="N764" s="48" t="s">
        <v>17</v>
      </c>
      <c r="O764" s="28">
        <f>ROUND(M764*$E764/100,0)</f>
        <v>0</v>
      </c>
      <c r="Q764" s="130">
        <f>Q121</f>
        <v>-2.7799999999999998E-2</v>
      </c>
      <c r="R764" s="48"/>
      <c r="S764" s="28">
        <f t="shared" ref="S764:S765" si="278">O764*Q764*254/365</f>
        <v>0</v>
      </c>
      <c r="T764" s="28"/>
      <c r="X764" s="45">
        <f t="shared" ref="X764:X765" si="279">M764/G764-1</f>
        <v>0.11069671232018052</v>
      </c>
    </row>
    <row r="765" spans="1:26">
      <c r="A765" s="40" t="s">
        <v>74</v>
      </c>
      <c r="C765" s="407">
        <v>0</v>
      </c>
      <c r="E765" s="407"/>
      <c r="G765" s="444">
        <v>2.9416000000000002</v>
      </c>
      <c r="H765" s="424" t="s">
        <v>17</v>
      </c>
      <c r="I765" s="421">
        <f>ROUND(G765*$C765/100,0)</f>
        <v>0</v>
      </c>
      <c r="K765" s="421">
        <f>ROUND(G765*$E765/100,0)</f>
        <v>0</v>
      </c>
      <c r="M765" s="129">
        <f>M122</f>
        <v>3.2658999999999998</v>
      </c>
      <c r="N765" s="48" t="s">
        <v>17</v>
      </c>
      <c r="O765" s="28">
        <f>ROUND(M765*$E765/100,0)</f>
        <v>0</v>
      </c>
      <c r="Q765" s="130">
        <f>Q122</f>
        <v>-2.7799999999999998E-2</v>
      </c>
      <c r="R765" s="48"/>
      <c r="S765" s="28">
        <f t="shared" si="278"/>
        <v>0</v>
      </c>
      <c r="T765" s="28"/>
      <c r="X765" s="45">
        <f t="shared" si="279"/>
        <v>0.11024612455806349</v>
      </c>
    </row>
    <row r="766" spans="1:26">
      <c r="A766" s="37" t="s">
        <v>298</v>
      </c>
      <c r="C766" s="407"/>
      <c r="E766" s="407"/>
      <c r="G766" s="445"/>
      <c r="H766" s="426"/>
      <c r="I766" s="421"/>
      <c r="K766" s="421"/>
      <c r="M766" s="133"/>
      <c r="N766" s="132"/>
      <c r="O766" s="28"/>
      <c r="Q766" s="130"/>
      <c r="R766" s="132"/>
      <c r="S766" s="28"/>
      <c r="T766" s="28"/>
    </row>
    <row r="767" spans="1:26">
      <c r="A767" s="40" t="s">
        <v>136</v>
      </c>
      <c r="C767" s="407">
        <v>0</v>
      </c>
      <c r="E767" s="407"/>
      <c r="G767" s="445">
        <v>12.33</v>
      </c>
      <c r="H767" s="426"/>
      <c r="I767" s="421">
        <f>ROUND(G767*$C767,0)</f>
        <v>0</v>
      </c>
      <c r="K767" s="421">
        <f>ROUND(G767*$E767,0)</f>
        <v>0</v>
      </c>
      <c r="M767" s="133">
        <f>M286</f>
        <v>13.81</v>
      </c>
      <c r="N767" s="132"/>
      <c r="O767" s="28">
        <f>ROUND(M767*$E767,0)</f>
        <v>0</v>
      </c>
      <c r="Q767" s="130">
        <f>Q286</f>
        <v>-3.32E-2</v>
      </c>
      <c r="R767" s="132"/>
      <c r="S767" s="28">
        <f t="shared" ref="S767:S768" si="280">O767*Q767*254/365</f>
        <v>0</v>
      </c>
      <c r="T767" s="28"/>
      <c r="X767" s="45">
        <f t="shared" ref="X767:X773" si="281">M767/G767-1</f>
        <v>0.12003244120032441</v>
      </c>
    </row>
    <row r="768" spans="1:26">
      <c r="A768" s="40" t="s">
        <v>137</v>
      </c>
      <c r="C768" s="407">
        <v>0</v>
      </c>
      <c r="E768" s="407"/>
      <c r="G768" s="445">
        <v>8.8800000000000008</v>
      </c>
      <c r="H768" s="426"/>
      <c r="I768" s="421">
        <f>ROUND(G768*$C768,0)</f>
        <v>0</v>
      </c>
      <c r="K768" s="421">
        <f>ROUND(G768*$E768,0)</f>
        <v>0</v>
      </c>
      <c r="M768" s="133">
        <f>M287</f>
        <v>9.94</v>
      </c>
      <c r="N768" s="132"/>
      <c r="O768" s="28">
        <f>ROUND(M768*$E768,0)</f>
        <v>0</v>
      </c>
      <c r="Q768" s="130">
        <f>Q287</f>
        <v>-3.32E-2</v>
      </c>
      <c r="R768" s="132"/>
      <c r="S768" s="28">
        <f t="shared" si="280"/>
        <v>0</v>
      </c>
      <c r="T768" s="28"/>
      <c r="X768" s="45">
        <f t="shared" si="281"/>
        <v>0.11936936936936915</v>
      </c>
    </row>
    <row r="769" spans="1:26">
      <c r="A769" s="40" t="s">
        <v>135</v>
      </c>
      <c r="C769" s="407">
        <v>0</v>
      </c>
      <c r="E769" s="407"/>
      <c r="G769" s="445">
        <v>3.77</v>
      </c>
      <c r="H769" s="426"/>
      <c r="I769" s="421">
        <f>ROUND(G769*$C769,0)</f>
        <v>0</v>
      </c>
      <c r="K769" s="421">
        <f>ROUND(G769*$E769,0)</f>
        <v>0</v>
      </c>
      <c r="M769" s="133">
        <f>M285</f>
        <v>4.22</v>
      </c>
      <c r="N769" s="132"/>
      <c r="O769" s="28">
        <f>ROUND(M769*$E769,0)</f>
        <v>0</v>
      </c>
      <c r="Q769" s="130"/>
      <c r="R769" s="132"/>
      <c r="S769" s="28"/>
      <c r="T769" s="28"/>
      <c r="X769" s="45">
        <f t="shared" si="281"/>
        <v>0.11936339522546402</v>
      </c>
    </row>
    <row r="770" spans="1:26">
      <c r="A770" s="40" t="s">
        <v>64</v>
      </c>
      <c r="C770" s="407">
        <v>0</v>
      </c>
      <c r="E770" s="407"/>
      <c r="G770" s="445">
        <v>-0.9</v>
      </c>
      <c r="H770" s="426"/>
      <c r="I770" s="421">
        <f>ROUND(G770*$C770,0)</f>
        <v>0</v>
      </c>
      <c r="K770" s="421">
        <f>ROUND(G770*$E770,0)</f>
        <v>0</v>
      </c>
      <c r="M770" s="133">
        <f>M288</f>
        <v>-1.01</v>
      </c>
      <c r="N770" s="132"/>
      <c r="O770" s="28">
        <f>ROUND(M770*$E770,0)</f>
        <v>0</v>
      </c>
      <c r="Q770" s="130"/>
      <c r="R770" s="132"/>
      <c r="S770" s="28"/>
      <c r="T770" s="28"/>
      <c r="X770" s="45">
        <f t="shared" si="281"/>
        <v>0.12222222222222223</v>
      </c>
    </row>
    <row r="771" spans="1:26">
      <c r="A771" s="40" t="s">
        <v>53</v>
      </c>
      <c r="C771" s="407">
        <v>0</v>
      </c>
      <c r="E771" s="407"/>
      <c r="G771" s="444">
        <v>4.0021000000000004</v>
      </c>
      <c r="H771" s="424" t="s">
        <v>17</v>
      </c>
      <c r="I771" s="421">
        <f>ROUND(G771*$C771/100,0)</f>
        <v>0</v>
      </c>
      <c r="K771" s="421">
        <f>ROUND(G771*$E771/100,0)</f>
        <v>0</v>
      </c>
      <c r="M771" s="129">
        <f>M289</f>
        <v>4.4812000000000003</v>
      </c>
      <c r="N771" s="48" t="s">
        <v>17</v>
      </c>
      <c r="O771" s="28">
        <f>ROUND(M771*$E771/100,0)</f>
        <v>0</v>
      </c>
      <c r="Q771" s="130">
        <f>Q289</f>
        <v>-3.32E-2</v>
      </c>
      <c r="R771" s="48"/>
      <c r="S771" s="28">
        <f t="shared" ref="S771:S773" si="282">O771*Q771*254/365</f>
        <v>0</v>
      </c>
      <c r="T771" s="28"/>
      <c r="V771"/>
      <c r="X771" s="45">
        <f t="shared" si="281"/>
        <v>0.11971215112066158</v>
      </c>
    </row>
    <row r="772" spans="1:26">
      <c r="A772" s="40" t="s">
        <v>92</v>
      </c>
      <c r="C772" s="407">
        <v>0</v>
      </c>
      <c r="E772" s="407"/>
      <c r="G772" s="444">
        <v>3.1328</v>
      </c>
      <c r="H772" s="424" t="s">
        <v>17</v>
      </c>
      <c r="I772" s="421">
        <f>ROUND(G772*$C772/100,0)</f>
        <v>0</v>
      </c>
      <c r="K772" s="421">
        <f>ROUND(G772*$E772/100,0)</f>
        <v>0</v>
      </c>
      <c r="M772" s="129">
        <f>M290</f>
        <v>3.5078</v>
      </c>
      <c r="N772" s="48" t="s">
        <v>17</v>
      </c>
      <c r="O772" s="28">
        <f>ROUND(M772*$E772/100,0)</f>
        <v>0</v>
      </c>
      <c r="Q772" s="130">
        <f>Q290</f>
        <v>-3.32E-2</v>
      </c>
      <c r="R772" s="48"/>
      <c r="S772" s="28">
        <f t="shared" si="282"/>
        <v>0</v>
      </c>
      <c r="T772" s="28"/>
      <c r="X772" s="45">
        <f t="shared" si="281"/>
        <v>0.11970122574055164</v>
      </c>
    </row>
    <row r="773" spans="1:26">
      <c r="A773" s="40" t="s">
        <v>138</v>
      </c>
      <c r="C773" s="407">
        <v>0</v>
      </c>
      <c r="E773" s="407"/>
      <c r="G773" s="444">
        <v>2.6987000000000001</v>
      </c>
      <c r="H773" s="424" t="s">
        <v>17</v>
      </c>
      <c r="I773" s="421">
        <f>ROUND(G773*$C773/100,0)</f>
        <v>0</v>
      </c>
      <c r="K773" s="421">
        <f>ROUND(G773*$E773/100,0)</f>
        <v>0</v>
      </c>
      <c r="M773" s="129">
        <f>M291</f>
        <v>3.0226999999999999</v>
      </c>
      <c r="N773" s="48" t="s">
        <v>17</v>
      </c>
      <c r="O773" s="28">
        <f>ROUND(M773*$E773/100,0)</f>
        <v>0</v>
      </c>
      <c r="Q773" s="130">
        <f>Q291</f>
        <v>-3.32E-2</v>
      </c>
      <c r="R773" s="48"/>
      <c r="S773" s="28">
        <f t="shared" si="282"/>
        <v>0</v>
      </c>
      <c r="T773" s="28"/>
      <c r="X773" s="45">
        <f t="shared" si="281"/>
        <v>0.12005780561010848</v>
      </c>
    </row>
    <row r="774" spans="1:26">
      <c r="A774" s="37" t="s">
        <v>299</v>
      </c>
      <c r="C774" s="407"/>
      <c r="E774" s="407"/>
      <c r="G774" s="444"/>
      <c r="H774" s="424"/>
      <c r="I774" s="421"/>
      <c r="K774" s="421"/>
      <c r="M774" s="129"/>
      <c r="N774" s="48"/>
      <c r="O774" s="28"/>
      <c r="Q774" s="130"/>
      <c r="R774" s="48"/>
      <c r="S774" s="28"/>
      <c r="T774" s="28"/>
    </row>
    <row r="775" spans="1:26">
      <c r="A775" s="40" t="s">
        <v>135</v>
      </c>
      <c r="C775" s="407">
        <v>0</v>
      </c>
      <c r="E775" s="407">
        <f t="shared" ref="E775:E779" si="283">ROUND(C775*$E$781/$C$781,0)</f>
        <v>0</v>
      </c>
      <c r="G775" s="445">
        <v>1.71</v>
      </c>
      <c r="H775" s="426"/>
      <c r="I775" s="421">
        <f>ROUND(G775*$C775,0)</f>
        <v>0</v>
      </c>
      <c r="K775" s="421">
        <f>ROUND(G775*$E775,0)</f>
        <v>0</v>
      </c>
      <c r="M775" s="133">
        <f t="shared" ref="M775:M780" si="284">M327</f>
        <v>1.94</v>
      </c>
      <c r="N775" s="132"/>
      <c r="O775" s="28">
        <f>ROUND(M775*$E775,0)</f>
        <v>0</v>
      </c>
      <c r="Q775" s="130"/>
      <c r="R775" s="132"/>
      <c r="S775" s="28"/>
      <c r="T775" s="28"/>
      <c r="W775"/>
      <c r="X775" s="45">
        <f t="shared" ref="X775:X780" si="285">M775/G775-1</f>
        <v>0.13450292397660824</v>
      </c>
    </row>
    <row r="776" spans="1:26">
      <c r="A776" s="40" t="s">
        <v>136</v>
      </c>
      <c r="C776" s="407">
        <v>0</v>
      </c>
      <c r="E776" s="407">
        <f t="shared" si="283"/>
        <v>0</v>
      </c>
      <c r="G776" s="445">
        <v>10.76</v>
      </c>
      <c r="H776" s="426"/>
      <c r="I776" s="421">
        <f>ROUND(G776*$C776,0)</f>
        <v>0</v>
      </c>
      <c r="K776" s="421">
        <f>ROUND(G776*$E776,0)</f>
        <v>0</v>
      </c>
      <c r="M776" s="133">
        <f t="shared" si="284"/>
        <v>12.18</v>
      </c>
      <c r="N776" s="132"/>
      <c r="O776" s="28">
        <f>ROUND(M776*$E776,0)</f>
        <v>0</v>
      </c>
      <c r="Q776" s="130">
        <f t="shared" ref="Q776:Q780" si="286">Q328</f>
        <v>-3.73E-2</v>
      </c>
      <c r="R776" s="132"/>
      <c r="S776" s="28">
        <f t="shared" ref="S776:S780" si="287">O776*Q776*254/365</f>
        <v>0</v>
      </c>
      <c r="T776" s="79"/>
      <c r="X776" s="45">
        <f t="shared" si="285"/>
        <v>0.13197026022304836</v>
      </c>
    </row>
    <row r="777" spans="1:26">
      <c r="A777" s="40" t="s">
        <v>137</v>
      </c>
      <c r="C777" s="407">
        <v>0</v>
      </c>
      <c r="E777" s="407">
        <f t="shared" si="283"/>
        <v>0</v>
      </c>
      <c r="G777" s="445">
        <v>7.3</v>
      </c>
      <c r="H777" s="426"/>
      <c r="I777" s="421">
        <f>ROUND(G777*$C777,0)</f>
        <v>0</v>
      </c>
      <c r="K777" s="421">
        <f>ROUND(G777*$E777,0)</f>
        <v>0</v>
      </c>
      <c r="M777" s="133">
        <f t="shared" si="284"/>
        <v>8.26</v>
      </c>
      <c r="N777" s="132"/>
      <c r="O777" s="28">
        <f>ROUND(M777*$E777,0)</f>
        <v>0</v>
      </c>
      <c r="Q777" s="130">
        <f t="shared" si="286"/>
        <v>-3.73E-2</v>
      </c>
      <c r="R777" s="132"/>
      <c r="S777" s="28">
        <f t="shared" si="287"/>
        <v>0</v>
      </c>
      <c r="T777" s="79"/>
      <c r="X777" s="45">
        <f t="shared" si="285"/>
        <v>0.1315068493150684</v>
      </c>
      <c r="Y777"/>
    </row>
    <row r="778" spans="1:26">
      <c r="A778" s="40" t="s">
        <v>145</v>
      </c>
      <c r="C778" s="407">
        <v>165000</v>
      </c>
      <c r="E778" s="407">
        <f t="shared" si="283"/>
        <v>64133</v>
      </c>
      <c r="G778" s="447">
        <v>3.5857999999999999</v>
      </c>
      <c r="H778" s="424" t="s">
        <v>17</v>
      </c>
      <c r="I778" s="421">
        <f>ROUND(G778*$C778/100,0)</f>
        <v>5917</v>
      </c>
      <c r="K778" s="421">
        <f>ROUND(G778*$E778/100,0)</f>
        <v>2300</v>
      </c>
      <c r="M778" s="157">
        <f t="shared" si="284"/>
        <v>4.0587999999999997</v>
      </c>
      <c r="N778" s="48" t="s">
        <v>17</v>
      </c>
      <c r="O778" s="28">
        <f>ROUND(M778*$E778/100,0)</f>
        <v>2603</v>
      </c>
      <c r="Q778" s="130">
        <f t="shared" si="286"/>
        <v>-3.73E-2</v>
      </c>
      <c r="R778" s="48"/>
      <c r="S778" s="28">
        <f t="shared" si="287"/>
        <v>-67.565322191780822</v>
      </c>
      <c r="T778" s="79"/>
      <c r="X778" s="45">
        <f t="shared" si="285"/>
        <v>0.13190919738970375</v>
      </c>
    </row>
    <row r="779" spans="1:26">
      <c r="A779" s="40" t="s">
        <v>146</v>
      </c>
      <c r="C779" s="407">
        <v>754000</v>
      </c>
      <c r="E779" s="407">
        <f t="shared" si="283"/>
        <v>293066</v>
      </c>
      <c r="G779" s="447">
        <v>2.6962999999999999</v>
      </c>
      <c r="H779" s="424" t="s">
        <v>17</v>
      </c>
      <c r="I779" s="421">
        <f>ROUND(G779*$C779/100,0)</f>
        <v>20330</v>
      </c>
      <c r="K779" s="421">
        <f>ROUND(G779*$E779/100,0)</f>
        <v>7902</v>
      </c>
      <c r="M779" s="157">
        <f t="shared" si="284"/>
        <v>3.052</v>
      </c>
      <c r="N779" s="48" t="s">
        <v>17</v>
      </c>
      <c r="O779" s="28">
        <f>ROUND(M779*$E779/100,0)</f>
        <v>8944</v>
      </c>
      <c r="Q779" s="130">
        <f t="shared" si="286"/>
        <v>-3.73E-2</v>
      </c>
      <c r="R779" s="48"/>
      <c r="S779" s="28">
        <f t="shared" si="287"/>
        <v>-232.15683506849317</v>
      </c>
      <c r="T779" s="79"/>
      <c r="X779" s="45">
        <f t="shared" si="285"/>
        <v>0.13192152208582142</v>
      </c>
      <c r="Z779"/>
    </row>
    <row r="780" spans="1:26">
      <c r="A780" s="40" t="s">
        <v>138</v>
      </c>
      <c r="C780" s="468">
        <v>1172000</v>
      </c>
      <c r="E780" s="468">
        <f>E781-SUM(E764:E765,E771:E773,E778:E779)</f>
        <v>458413</v>
      </c>
      <c r="G780" s="474">
        <v>2.2517999999999998</v>
      </c>
      <c r="H780" s="424" t="s">
        <v>17</v>
      </c>
      <c r="I780" s="450">
        <f>ROUND(G780*$C780/100,0)</f>
        <v>26391</v>
      </c>
      <c r="K780" s="450">
        <f>ROUND(G780*$E780/100,0)</f>
        <v>10323</v>
      </c>
      <c r="M780" s="249">
        <f t="shared" si="284"/>
        <v>2.5488</v>
      </c>
      <c r="N780" s="48" t="s">
        <v>17</v>
      </c>
      <c r="O780" s="198">
        <f>ROUND(M780*$E780/100,0)</f>
        <v>11684</v>
      </c>
      <c r="Q780" s="250">
        <f t="shared" si="286"/>
        <v>-3.73E-2</v>
      </c>
      <c r="R780" s="48"/>
      <c r="S780" s="198">
        <f t="shared" si="287"/>
        <v>-303.2782268493151</v>
      </c>
      <c r="X780" s="45">
        <f t="shared" si="285"/>
        <v>0.13189448441247009</v>
      </c>
    </row>
    <row r="781" spans="1:26" ht="16.5" thickBot="1">
      <c r="A781" s="40" t="s">
        <v>300</v>
      </c>
      <c r="C781" s="441">
        <f>C755+C763+C771+C772+C773+C778+C779+C780</f>
        <v>2098403</v>
      </c>
      <c r="E781" s="441">
        <v>815612</v>
      </c>
      <c r="G781" s="439"/>
      <c r="I781" s="440">
        <f>I755+SUM(I760:I780)</f>
        <v>288076</v>
      </c>
      <c r="K781" s="440">
        <f>K755+SUM(K760:K780)</f>
        <v>116888</v>
      </c>
      <c r="M781" s="115"/>
      <c r="O781" s="114">
        <f>O755+SUM(O760:O780)</f>
        <v>130967</v>
      </c>
      <c r="Q781" s="116"/>
      <c r="S781" s="114">
        <f>S755+SUM(S760:S780)</f>
        <v>-603.00038410958905</v>
      </c>
      <c r="U781" s="27"/>
    </row>
    <row r="782" spans="1:26" ht="16.5" thickTop="1">
      <c r="A782" s="40" t="s">
        <v>301</v>
      </c>
      <c r="C782" s="407"/>
      <c r="E782" s="407"/>
      <c r="G782" s="433"/>
      <c r="H782" s="434"/>
      <c r="I782" s="429">
        <v>0</v>
      </c>
      <c r="K782" s="429">
        <f>I782</f>
        <v>0</v>
      </c>
      <c r="M782" s="36"/>
      <c r="N782" s="99"/>
      <c r="O782" s="89">
        <v>0</v>
      </c>
      <c r="Q782" s="36"/>
      <c r="R782" s="99"/>
      <c r="S782" s="89"/>
      <c r="T782" s="251"/>
      <c r="U782" s="27" t="s">
        <v>48</v>
      </c>
      <c r="V782" s="123">
        <f>(O782+O781)/(K782+K781)-1</f>
        <v>0.12044863459037702</v>
      </c>
    </row>
    <row r="783" spans="1:26">
      <c r="A783" s="40" t="s">
        <v>302</v>
      </c>
      <c r="C783" s="407"/>
      <c r="E783" s="407"/>
      <c r="G783" s="433"/>
      <c r="H783" s="434"/>
      <c r="I783" s="429">
        <f>SUM(I760:I763)*G$127+SUM(I767:I773)*G$295+SUM(I775:I780)*G$336+I757</f>
        <v>10865.606</v>
      </c>
      <c r="K783" s="429">
        <f>SUM(K760:K763)*$G$127+SUM(K767:K773)*$G$295+SUM(K775:K780)*$G$336+K757</f>
        <v>4226.4250000000002</v>
      </c>
      <c r="M783" s="119"/>
      <c r="N783" s="118"/>
      <c r="O783" s="89">
        <f>(SUM(O760:O763)*$G$127+SUM(O767:O773)*$G$295+SUM(O775:O780)*$G$336)+O757</f>
        <v>4734.5469999999996</v>
      </c>
      <c r="Q783" s="119"/>
      <c r="R783" s="118"/>
      <c r="S783" s="89"/>
      <c r="T783" s="251"/>
    </row>
    <row r="784" spans="1:26">
      <c r="T784" s="251"/>
    </row>
    <row r="785" spans="1:25">
      <c r="A785" s="37" t="s">
        <v>304</v>
      </c>
      <c r="C785" s="407"/>
      <c r="E785" s="407"/>
      <c r="T785" s="251"/>
    </row>
    <row r="786" spans="1:25">
      <c r="A786" s="40" t="s">
        <v>13</v>
      </c>
      <c r="C786" s="407">
        <v>12</v>
      </c>
      <c r="E786" s="407">
        <v>12</v>
      </c>
      <c r="G786" s="444"/>
      <c r="H786" s="443"/>
      <c r="I786" s="475">
        <v>2210.4</v>
      </c>
      <c r="K786" s="475">
        <f>I786*$E$786/$C$786</f>
        <v>2210.4</v>
      </c>
      <c r="M786" s="129"/>
      <c r="N786" s="125"/>
      <c r="O786" s="251">
        <f t="shared" ref="O786:O790" si="288">K786</f>
        <v>2210.4</v>
      </c>
      <c r="Q786" s="130"/>
      <c r="R786" s="125"/>
      <c r="S786" s="251"/>
      <c r="T786" s="251"/>
    </row>
    <row r="787" spans="1:25">
      <c r="A787" s="40" t="s">
        <v>305</v>
      </c>
      <c r="C787" s="407">
        <v>690480</v>
      </c>
      <c r="E787" s="407">
        <f>ROUND(C787*$E$791/$C$791,0)</f>
        <v>890174</v>
      </c>
      <c r="G787" s="444"/>
      <c r="H787" s="443"/>
      <c r="I787" s="475">
        <v>6763476.7999999998</v>
      </c>
      <c r="K787" s="475">
        <f>I787*$E$791/$C$791</f>
        <v>8719546.1279535647</v>
      </c>
      <c r="M787" s="129"/>
      <c r="N787" s="125"/>
      <c r="O787" s="251">
        <f t="shared" si="288"/>
        <v>8719546.1279535647</v>
      </c>
      <c r="Q787" s="130"/>
      <c r="R787" s="125"/>
      <c r="S787" s="251"/>
      <c r="T787" s="159"/>
      <c r="U787" s="85"/>
      <c r="V787" s="39"/>
    </row>
    <row r="788" spans="1:25">
      <c r="A788" s="40" t="s">
        <v>306</v>
      </c>
      <c r="C788" s="407">
        <v>1157480</v>
      </c>
      <c r="E788" s="407">
        <f>ROUND(C788*$E$791/$C$791,0)</f>
        <v>1492236</v>
      </c>
      <c r="G788" s="444"/>
      <c r="H788" s="443"/>
      <c r="I788" s="475">
        <v>0</v>
      </c>
      <c r="K788" s="475">
        <f>I788*$E$791/$C$791</f>
        <v>0</v>
      </c>
      <c r="M788" s="129"/>
      <c r="N788" s="125"/>
      <c r="O788" s="251">
        <f t="shared" si="288"/>
        <v>0</v>
      </c>
      <c r="Q788" s="130"/>
      <c r="R788" s="125"/>
      <c r="S788" s="251"/>
      <c r="T788" s="160"/>
      <c r="U788" s="123">
        <f>E791/((E787+E788)/12*8760)</f>
        <v>0.32546287792304096</v>
      </c>
      <c r="V788" s="79"/>
    </row>
    <row r="789" spans="1:25">
      <c r="A789" s="40" t="s">
        <v>307</v>
      </c>
      <c r="C789" s="407">
        <v>170304517</v>
      </c>
      <c r="E789" s="407">
        <f>ROUND(C789*$E$791/$C$791,0)</f>
        <v>219558392</v>
      </c>
      <c r="G789" s="476"/>
      <c r="H789" s="477"/>
      <c r="I789" s="475">
        <v>5134363.3900000006</v>
      </c>
      <c r="K789" s="475">
        <f>I789*$E$791/$C$791</f>
        <v>6619275.816364306</v>
      </c>
      <c r="M789" s="253"/>
      <c r="N789" s="252"/>
      <c r="O789" s="251">
        <f t="shared" si="288"/>
        <v>6619275.816364306</v>
      </c>
      <c r="Q789" s="130"/>
      <c r="R789" s="252"/>
      <c r="S789" s="251"/>
      <c r="T789" s="160"/>
      <c r="U789" s="46"/>
      <c r="V789" s="79"/>
      <c r="W789"/>
    </row>
    <row r="790" spans="1:25">
      <c r="A790" s="40" t="s">
        <v>308</v>
      </c>
      <c r="C790" s="468">
        <v>268748483</v>
      </c>
      <c r="E790" s="428">
        <f>E791-E789</f>
        <v>346473398.94462132</v>
      </c>
      <c r="I790" s="478">
        <v>5896341.7400000002</v>
      </c>
      <c r="K790" s="429">
        <f>I790*$E$791/$C$791</f>
        <v>7601626.3984387424</v>
      </c>
      <c r="O790" s="254">
        <f t="shared" si="288"/>
        <v>7601626.3984387424</v>
      </c>
      <c r="S790" s="254"/>
      <c r="T790" s="255"/>
      <c r="U790" s="46"/>
      <c r="V790" s="79"/>
      <c r="W790"/>
    </row>
    <row r="791" spans="1:25" ht="16.5" thickBot="1">
      <c r="A791" s="40" t="s">
        <v>43</v>
      </c>
      <c r="C791" s="441">
        <f>SUM(C789:C790)</f>
        <v>439053000</v>
      </c>
      <c r="E791" s="441">
        <v>566031790.94462132</v>
      </c>
      <c r="G791" s="442"/>
      <c r="H791" s="443"/>
      <c r="I791" s="440">
        <f>SUM(I786:I790)</f>
        <v>17796392.329999998</v>
      </c>
      <c r="K791" s="440">
        <f>SUM(K786:K790)</f>
        <v>22942658.742756613</v>
      </c>
      <c r="M791" s="126"/>
      <c r="N791" s="125"/>
      <c r="O791" s="256">
        <f>SUM(O786:O790)</f>
        <v>22942658.742756613</v>
      </c>
      <c r="Q791" s="127"/>
      <c r="R791" s="125"/>
      <c r="S791" s="256"/>
      <c r="T791" s="159"/>
      <c r="X791"/>
      <c r="Y791"/>
    </row>
    <row r="792" spans="1:25" ht="16.5" thickTop="1">
      <c r="C792" s="407"/>
      <c r="E792" s="407"/>
      <c r="I792" s="444"/>
      <c r="K792" s="444"/>
      <c r="O792" s="255"/>
      <c r="S792" s="159"/>
      <c r="T792" s="28"/>
    </row>
    <row r="793" spans="1:25">
      <c r="A793" s="257" t="s">
        <v>309</v>
      </c>
      <c r="B793" s="17"/>
      <c r="C793" s="407"/>
      <c r="E793" s="407"/>
      <c r="G793" s="444"/>
      <c r="H793" s="443"/>
      <c r="M793" s="129"/>
      <c r="N793" s="125"/>
      <c r="O793" s="27"/>
      <c r="Q793" s="130"/>
      <c r="R793" s="125"/>
      <c r="S793" s="258"/>
      <c r="T793" s="160"/>
    </row>
    <row r="794" spans="1:25">
      <c r="A794" s="82" t="s">
        <v>13</v>
      </c>
      <c r="B794" s="17"/>
      <c r="C794" s="407">
        <v>12</v>
      </c>
      <c r="E794" s="407">
        <v>12</v>
      </c>
      <c r="O794" s="27"/>
      <c r="S794" s="258"/>
      <c r="T794" s="79"/>
      <c r="U794" s="17"/>
      <c r="V794" s="39"/>
    </row>
    <row r="795" spans="1:25">
      <c r="A795" s="82" t="s">
        <v>310</v>
      </c>
      <c r="B795" s="17"/>
      <c r="C795" s="468">
        <v>742740996</v>
      </c>
      <c r="E795" s="407">
        <v>906890766.34466708</v>
      </c>
      <c r="G795" s="479"/>
      <c r="H795" s="480"/>
      <c r="I795" s="450">
        <v>24821651.976239998</v>
      </c>
      <c r="K795" s="421">
        <f>I795*$E795/$C795</f>
        <v>30307371.080770276</v>
      </c>
      <c r="M795" s="260"/>
      <c r="N795" s="259"/>
      <c r="O795" s="198">
        <f>K795</f>
        <v>30307371.080770276</v>
      </c>
      <c r="Q795" s="261"/>
      <c r="R795" s="259"/>
      <c r="S795" s="198"/>
      <c r="T795" s="27"/>
      <c r="U795" s="46"/>
      <c r="V795" s="79"/>
    </row>
    <row r="796" spans="1:25" ht="16.5" thickBot="1">
      <c r="A796" s="40" t="s">
        <v>43</v>
      </c>
      <c r="B796" s="17"/>
      <c r="C796" s="481">
        <f>C795</f>
        <v>742740996</v>
      </c>
      <c r="E796" s="481">
        <f>SUM(E795:E795)</f>
        <v>906890766.34466708</v>
      </c>
      <c r="G796" s="482"/>
      <c r="H796" s="443"/>
      <c r="I796" s="432">
        <f>SUM(I795:I795)</f>
        <v>24821651.976239998</v>
      </c>
      <c r="K796" s="483">
        <f>SUM(K795:K795)</f>
        <v>30307371.080770276</v>
      </c>
      <c r="M796" s="262"/>
      <c r="N796" s="125"/>
      <c r="O796" s="94">
        <f>SUM(O795:O795)</f>
        <v>30307371.080770276</v>
      </c>
      <c r="Q796" s="263"/>
      <c r="R796" s="125"/>
      <c r="S796" s="94"/>
      <c r="T796" s="251"/>
      <c r="U796"/>
      <c r="V796"/>
    </row>
    <row r="797" spans="1:25" ht="16.5" thickTop="1">
      <c r="A797" s="82"/>
      <c r="B797" s="17"/>
      <c r="C797" s="422"/>
      <c r="E797" s="422"/>
      <c r="G797" s="434"/>
      <c r="H797" s="434"/>
      <c r="I797" s="427"/>
      <c r="K797" s="427"/>
      <c r="M797" s="99"/>
      <c r="N797" s="99"/>
      <c r="O797" s="79"/>
      <c r="Q797" s="99"/>
      <c r="R797" s="99"/>
      <c r="S797" s="79"/>
      <c r="T797" s="251"/>
      <c r="U797" s="39"/>
      <c r="V797" s="79"/>
    </row>
    <row r="798" spans="1:25">
      <c r="A798" s="37" t="s">
        <v>311</v>
      </c>
      <c r="C798" s="407"/>
      <c r="E798" s="407"/>
      <c r="G798" s="444"/>
      <c r="H798" s="443"/>
      <c r="M798" s="129"/>
      <c r="N798" s="125"/>
      <c r="O798" s="27"/>
      <c r="Q798" s="130"/>
      <c r="R798" s="125"/>
      <c r="S798" s="258"/>
      <c r="T798" s="251"/>
    </row>
    <row r="799" spans="1:25">
      <c r="A799" s="40" t="s">
        <v>13</v>
      </c>
      <c r="C799" s="407">
        <v>12</v>
      </c>
      <c r="E799" s="407">
        <v>12</v>
      </c>
      <c r="G799" s="237">
        <v>527</v>
      </c>
      <c r="H799" s="443"/>
      <c r="I799" s="421">
        <f>ROUND(G799*$C799,0)</f>
        <v>6324</v>
      </c>
      <c r="K799" s="421">
        <f>ROUND(G799*$E799,0)</f>
        <v>6324</v>
      </c>
      <c r="M799" s="41">
        <f>M748</f>
        <v>590</v>
      </c>
      <c r="N799" s="125"/>
      <c r="O799" s="28">
        <f>ROUND(M799*$E799,0)</f>
        <v>7080</v>
      </c>
      <c r="Q799" s="83"/>
      <c r="R799" s="125"/>
      <c r="S799" s="28"/>
      <c r="T799" s="251"/>
      <c r="U799" s="134" t="s">
        <v>312</v>
      </c>
      <c r="X799" s="45">
        <f t="shared" ref="X799:X800" si="289">M799/G799-1</f>
        <v>0.11954459203036061</v>
      </c>
    </row>
    <row r="800" spans="1:25">
      <c r="A800" s="40" t="s">
        <v>153</v>
      </c>
      <c r="C800" s="407">
        <v>727640</v>
      </c>
      <c r="E800" s="407">
        <f>ROUND(C800*$E$812/$C$812,0)</f>
        <v>1161152</v>
      </c>
      <c r="G800" s="237">
        <v>1.7</v>
      </c>
      <c r="H800" s="443"/>
      <c r="I800" s="421">
        <f>ROUND(G800*$C800,0)</f>
        <v>1236988</v>
      </c>
      <c r="K800" s="421">
        <f>ROUND(G800*$E800,0)</f>
        <v>1973958</v>
      </c>
      <c r="M800" s="41">
        <f>M749</f>
        <v>1.9</v>
      </c>
      <c r="N800" s="125"/>
      <c r="O800" s="28">
        <f>ROUND(M800*$E800,0)</f>
        <v>2206189</v>
      </c>
      <c r="Q800" s="83"/>
      <c r="R800" s="125"/>
      <c r="S800" s="28"/>
      <c r="T800" s="160"/>
      <c r="U800" s="27" t="s">
        <v>313</v>
      </c>
      <c r="V800" s="45">
        <f>K813/K812</f>
        <v>4.049197871613245E-2</v>
      </c>
      <c r="X800" s="45">
        <f t="shared" si="289"/>
        <v>0.11764705882352944</v>
      </c>
    </row>
    <row r="801" spans="1:26">
      <c r="A801" s="40" t="s">
        <v>314</v>
      </c>
      <c r="C801" s="407"/>
      <c r="E801" s="407"/>
      <c r="G801" s="445"/>
      <c r="H801" s="484"/>
      <c r="I801" s="475"/>
      <c r="K801" s="475"/>
      <c r="M801" s="78"/>
      <c r="N801" s="264"/>
      <c r="O801" s="251"/>
      <c r="Q801" s="80"/>
      <c r="R801" s="264"/>
      <c r="S801" s="251"/>
      <c r="T801" s="160"/>
      <c r="U801" s="27" t="s">
        <v>315</v>
      </c>
      <c r="V801" s="45">
        <f>K824/K823</f>
        <v>4.3069089763567277E-2</v>
      </c>
    </row>
    <row r="802" spans="1:26">
      <c r="A802" s="40" t="s">
        <v>290</v>
      </c>
      <c r="C802" s="407">
        <v>5394980</v>
      </c>
      <c r="E802" s="407">
        <f>ROUND(C802*$E$812/$C$812,0)</f>
        <v>8609191</v>
      </c>
      <c r="G802" s="470">
        <v>0.40079999999999999</v>
      </c>
      <c r="H802" s="471"/>
      <c r="I802" s="421">
        <f t="shared" ref="I802:I804" si="290">ROUND(G802*$C802,0)</f>
        <v>2162308</v>
      </c>
      <c r="K802" s="421">
        <f t="shared" ref="K802:K804" si="291">ROUND(G802*$E802,0)</f>
        <v>3450564</v>
      </c>
      <c r="M802" s="241">
        <f>M751</f>
        <v>0.44850000000000001</v>
      </c>
      <c r="N802" s="125"/>
      <c r="O802" s="28">
        <f t="shared" ref="O802:O804" si="292">ROUND(M802*$E802,0)</f>
        <v>3861222</v>
      </c>
      <c r="Q802" s="83"/>
      <c r="R802" s="125"/>
      <c r="S802" s="28"/>
      <c r="T802" s="79"/>
      <c r="U802" s="101" t="s">
        <v>316</v>
      </c>
      <c r="V802" s="45">
        <f>K335/K334</f>
        <v>4.2730731145539838E-2</v>
      </c>
      <c r="X802" s="45">
        <f t="shared" ref="X802:X804" si="293">M802/G802-1</f>
        <v>0.11901197604790426</v>
      </c>
      <c r="Y802" s="28"/>
      <c r="Z802"/>
    </row>
    <row r="803" spans="1:26">
      <c r="A803" s="40" t="s">
        <v>291</v>
      </c>
      <c r="C803" s="407">
        <v>0</v>
      </c>
      <c r="E803" s="407">
        <f>ROUND(C803*$E$812/$C$812,0)</f>
        <v>0</v>
      </c>
      <c r="G803" s="472">
        <v>0.20039999999999999</v>
      </c>
      <c r="H803" s="473"/>
      <c r="I803" s="421">
        <f t="shared" si="290"/>
        <v>0</v>
      </c>
      <c r="K803" s="421">
        <f t="shared" si="291"/>
        <v>0</v>
      </c>
      <c r="M803" s="243">
        <f t="shared" ref="M803:M804" si="294">M752</f>
        <v>0.2243</v>
      </c>
      <c r="N803" s="125"/>
      <c r="O803" s="28">
        <f t="shared" si="292"/>
        <v>0</v>
      </c>
      <c r="Q803" s="80"/>
      <c r="R803" s="125"/>
      <c r="S803" s="28"/>
      <c r="T803" s="79"/>
      <c r="U803" s="134" t="s">
        <v>317</v>
      </c>
      <c r="V803" s="135"/>
      <c r="X803" s="45">
        <f t="shared" si="293"/>
        <v>0.11926147704590817</v>
      </c>
      <c r="Y803" s="28"/>
      <c r="Z803"/>
    </row>
    <row r="804" spans="1:26">
      <c r="A804" s="40" t="s">
        <v>318</v>
      </c>
      <c r="C804" s="407">
        <v>0</v>
      </c>
      <c r="E804" s="407">
        <f>ROUND(C804*$E$812/$C$812,0)</f>
        <v>0</v>
      </c>
      <c r="G804" s="237">
        <v>34.28</v>
      </c>
      <c r="H804" s="420"/>
      <c r="I804" s="421">
        <f t="shared" si="290"/>
        <v>0</v>
      </c>
      <c r="K804" s="421">
        <f t="shared" si="291"/>
        <v>0</v>
      </c>
      <c r="M804" s="41">
        <f t="shared" si="294"/>
        <v>38.36</v>
      </c>
      <c r="N804" s="125"/>
      <c r="O804" s="28">
        <f t="shared" si="292"/>
        <v>0</v>
      </c>
      <c r="Q804" s="83"/>
      <c r="R804" s="125"/>
      <c r="S804" s="28"/>
      <c r="T804" s="79"/>
      <c r="U804" s="27" t="s">
        <v>313</v>
      </c>
      <c r="V804" s="45">
        <f>E812/((SUM(E806:E807)/12+E802/365)*8760)</f>
        <v>0.88731373318508355</v>
      </c>
      <c r="X804" s="45">
        <f t="shared" si="293"/>
        <v>0.11901983663943994</v>
      </c>
      <c r="Z804"/>
    </row>
    <row r="805" spans="1:26">
      <c r="A805" s="40" t="s">
        <v>319</v>
      </c>
      <c r="C805" s="407"/>
      <c r="E805" s="407"/>
      <c r="G805" s="456"/>
      <c r="H805" s="484"/>
      <c r="I805" s="475"/>
      <c r="K805" s="475"/>
      <c r="M805" s="183"/>
      <c r="N805" s="264"/>
      <c r="O805" s="251"/>
      <c r="Q805" s="83"/>
      <c r="R805" s="264"/>
      <c r="S805" s="251"/>
      <c r="T805" s="27"/>
      <c r="U805" s="27" t="s">
        <v>315</v>
      </c>
      <c r="V805" s="45">
        <f>E823/(SUM(E818:E819)/12*8760)</f>
        <v>0.93979179854468842</v>
      </c>
    </row>
    <row r="806" spans="1:26">
      <c r="A806" s="40" t="s">
        <v>320</v>
      </c>
      <c r="C806" s="407">
        <v>0</v>
      </c>
      <c r="E806" s="407">
        <f t="shared" ref="E806:E807" si="295">ROUND(C806*$E$812/$C$812,0)</f>
        <v>0</v>
      </c>
      <c r="G806" s="445">
        <v>10.76</v>
      </c>
      <c r="H806" s="426"/>
      <c r="I806" s="421">
        <f>ROUND($G806*C806,0)</f>
        <v>0</v>
      </c>
      <c r="K806" s="421">
        <f>ROUND($G806*E806,0)</f>
        <v>0</v>
      </c>
      <c r="M806" s="78">
        <f>M328</f>
        <v>12.18</v>
      </c>
      <c r="N806" s="132"/>
      <c r="O806" s="28">
        <f>ROUND(M806*$E806,0)</f>
        <v>0</v>
      </c>
      <c r="Q806" s="80">
        <f>Q328</f>
        <v>-3.73E-2</v>
      </c>
      <c r="R806" s="132"/>
      <c r="S806" s="28">
        <f t="shared" ref="S806:S807" si="296">O806*Q806*254/365</f>
        <v>0</v>
      </c>
      <c r="T806" s="28"/>
      <c r="U806" s="101" t="s">
        <v>316</v>
      </c>
      <c r="V806" s="45">
        <f>E334/(SUM(E328:E329)/12*8760)</f>
        <v>0.75634901826909517</v>
      </c>
      <c r="W806"/>
      <c r="X806" s="45">
        <f t="shared" ref="X806:X807" si="297">M806/G806-1</f>
        <v>0.13197026022304836</v>
      </c>
    </row>
    <row r="807" spans="1:26">
      <c r="A807" s="40" t="s">
        <v>321</v>
      </c>
      <c r="C807" s="407">
        <v>938280</v>
      </c>
      <c r="E807" s="407">
        <f t="shared" si="295"/>
        <v>1497287</v>
      </c>
      <c r="G807" s="445">
        <v>7.3</v>
      </c>
      <c r="H807" s="426"/>
      <c r="I807" s="421">
        <f>ROUND($G807*C807,0)</f>
        <v>6849444</v>
      </c>
      <c r="K807" s="421">
        <f>ROUND($G807*E807,0)</f>
        <v>10930195</v>
      </c>
      <c r="M807" s="78">
        <f>M329</f>
        <v>8.26</v>
      </c>
      <c r="N807" s="132"/>
      <c r="O807" s="28">
        <f>ROUND(M807*$E807,0)</f>
        <v>12367591</v>
      </c>
      <c r="Q807" s="80">
        <f>Q329</f>
        <v>-3.73E-2</v>
      </c>
      <c r="R807" s="132"/>
      <c r="S807" s="28">
        <f t="shared" si="296"/>
        <v>-321022.00178684929</v>
      </c>
      <c r="T807" s="79"/>
      <c r="X807" s="45">
        <f t="shared" si="297"/>
        <v>0.1315068493150684</v>
      </c>
    </row>
    <row r="808" spans="1:26">
      <c r="A808" s="40" t="s">
        <v>322</v>
      </c>
      <c r="C808" s="422"/>
      <c r="E808" s="422"/>
      <c r="G808" s="484"/>
      <c r="H808" s="484"/>
      <c r="I808" s="485"/>
      <c r="K808" s="427"/>
      <c r="M808" s="265"/>
      <c r="N808" s="264"/>
      <c r="O808" s="160"/>
      <c r="Q808" s="205"/>
      <c r="R808" s="264"/>
      <c r="S808" s="160"/>
      <c r="T808" s="251"/>
    </row>
    <row r="809" spans="1:26">
      <c r="A809" s="40" t="s">
        <v>323</v>
      </c>
      <c r="C809" s="407">
        <v>24431979</v>
      </c>
      <c r="E809" s="407">
        <f>ROUND(C809*$E$812/$C$812,0)</f>
        <v>38988018</v>
      </c>
      <c r="G809" s="447">
        <v>3.5857999999999999</v>
      </c>
      <c r="H809" s="424" t="s">
        <v>17</v>
      </c>
      <c r="I809" s="421">
        <f>ROUND(G809*$C809/100,0)</f>
        <v>876082</v>
      </c>
      <c r="K809" s="421">
        <f>ROUND(G809*$E809/100,0)</f>
        <v>1398032</v>
      </c>
      <c r="M809" s="156">
        <f>M330</f>
        <v>4.0587999999999997</v>
      </c>
      <c r="N809" s="48" t="s">
        <v>17</v>
      </c>
      <c r="O809" s="28">
        <f>ROUND(M809*$E809/100,0)</f>
        <v>1582446</v>
      </c>
      <c r="Q809" s="80">
        <f>Q330</f>
        <v>-3.73E-2</v>
      </c>
      <c r="R809" s="48"/>
      <c r="S809" s="28">
        <f t="shared" ref="S809:S811" si="298">O809*Q809*254/365</f>
        <v>-41075.09559780822</v>
      </c>
      <c r="T809" s="79"/>
      <c r="X809" s="45">
        <f t="shared" ref="X809:X811" si="299">M809/G809-1</f>
        <v>0.13190919738970375</v>
      </c>
      <c r="Y809"/>
    </row>
    <row r="810" spans="1:26">
      <c r="A810" s="40" t="s">
        <v>324</v>
      </c>
      <c r="C810" s="407">
        <v>259828552</v>
      </c>
      <c r="E810" s="407">
        <f t="shared" ref="E810" si="300">ROUND(C810*$E$812/$C$812,0)</f>
        <v>414628720</v>
      </c>
      <c r="G810" s="447">
        <v>2.6962999999999999</v>
      </c>
      <c r="H810" s="424" t="s">
        <v>17</v>
      </c>
      <c r="I810" s="421">
        <f t="shared" ref="I810:I811" si="301">ROUND(G810*$C810/100,0)</f>
        <v>7005757</v>
      </c>
      <c r="K810" s="421">
        <f t="shared" ref="K810:K811" si="302">ROUND(G810*$E810/100,0)</f>
        <v>11179634</v>
      </c>
      <c r="M810" s="156">
        <f t="shared" ref="M810:M811" si="303">M331</f>
        <v>3.052</v>
      </c>
      <c r="N810" s="48" t="s">
        <v>17</v>
      </c>
      <c r="O810" s="28">
        <f t="shared" ref="O810:O811" si="304">ROUND(M810*$E810/100,0)</f>
        <v>12654469</v>
      </c>
      <c r="Q810" s="80">
        <f t="shared" ref="Q810:Q811" si="305">Q331</f>
        <v>-3.73E-2</v>
      </c>
      <c r="R810" s="48"/>
      <c r="S810" s="28">
        <f t="shared" si="298"/>
        <v>-328468.41150630137</v>
      </c>
      <c r="T810" s="79"/>
      <c r="X810" s="45">
        <f t="shared" si="299"/>
        <v>0.13192152208582142</v>
      </c>
    </row>
    <row r="811" spans="1:26">
      <c r="A811" s="40" t="s">
        <v>325</v>
      </c>
      <c r="C811" s="468">
        <v>438389119</v>
      </c>
      <c r="E811" s="468">
        <f>E812-E809-E810</f>
        <v>699571765.60415292</v>
      </c>
      <c r="G811" s="474">
        <v>2.2517999999999998</v>
      </c>
      <c r="H811" s="424" t="s">
        <v>17</v>
      </c>
      <c r="I811" s="450">
        <f t="shared" si="301"/>
        <v>9871646</v>
      </c>
      <c r="K811" s="450">
        <f t="shared" si="302"/>
        <v>15752957</v>
      </c>
      <c r="M811" s="248">
        <f t="shared" si="303"/>
        <v>2.5488</v>
      </c>
      <c r="N811" s="48" t="s">
        <v>17</v>
      </c>
      <c r="O811" s="198">
        <f t="shared" si="304"/>
        <v>17830685</v>
      </c>
      <c r="Q811" s="266">
        <f t="shared" si="305"/>
        <v>-3.73E-2</v>
      </c>
      <c r="R811" s="48"/>
      <c r="S811" s="198">
        <f t="shared" si="298"/>
        <v>-462825.961169863</v>
      </c>
      <c r="T811" s="79"/>
      <c r="X811" s="45">
        <f t="shared" si="299"/>
        <v>0.13189448441247009</v>
      </c>
      <c r="Z811"/>
    </row>
    <row r="812" spans="1:26" ht="16.5" thickBot="1">
      <c r="A812" s="40" t="s">
        <v>326</v>
      </c>
      <c r="C812" s="441">
        <f>SUM(C809:C811)</f>
        <v>722649650</v>
      </c>
      <c r="E812" s="441">
        <v>1153188503.6041529</v>
      </c>
      <c r="G812" s="442"/>
      <c r="H812" s="443"/>
      <c r="I812" s="440">
        <f>SUM(I799:I811)</f>
        <v>28008549</v>
      </c>
      <c r="K812" s="440">
        <f>SUM(K799:K811)</f>
        <v>44691664</v>
      </c>
      <c r="M812" s="124"/>
      <c r="N812" s="125"/>
      <c r="O812" s="256">
        <f>SUM(O799:O811)</f>
        <v>50509682</v>
      </c>
      <c r="Q812" s="267"/>
      <c r="R812" s="125"/>
      <c r="S812" s="256">
        <f>SUM(S799:S811)</f>
        <v>-1153391.4700608219</v>
      </c>
      <c r="T812" s="251"/>
      <c r="U812" s="27" t="s">
        <v>26</v>
      </c>
      <c r="V812" s="108">
        <f>O812/K812-1</f>
        <v>0.13018127944396962</v>
      </c>
    </row>
    <row r="813" spans="1:26" ht="16.5" thickTop="1">
      <c r="A813" s="40" t="s">
        <v>45</v>
      </c>
      <c r="C813" s="407"/>
      <c r="E813" s="407"/>
      <c r="G813" s="433"/>
      <c r="H813" s="434"/>
      <c r="I813" s="429">
        <v>1313003.615563194</v>
      </c>
      <c r="K813" s="429">
        <f>$Y$327*SUM(K806:K811)</f>
        <v>1809653.9074765428</v>
      </c>
      <c r="M813" s="36"/>
      <c r="N813" s="99"/>
      <c r="O813" s="89">
        <v>0</v>
      </c>
      <c r="Q813" s="36"/>
      <c r="R813" s="99"/>
      <c r="S813" s="89"/>
      <c r="T813" s="28"/>
      <c r="U813" s="27" t="s">
        <v>48</v>
      </c>
      <c r="V813" s="108">
        <f>(O812+O813)/(K812+K813)-1</f>
        <v>8.6198935275315858E-2</v>
      </c>
    </row>
    <row r="814" spans="1:26">
      <c r="C814" s="407"/>
      <c r="E814" s="407"/>
      <c r="G814" s="444"/>
      <c r="H814" s="443"/>
      <c r="M814" s="129"/>
      <c r="N814" s="125"/>
      <c r="O814" s="27"/>
      <c r="Q814" s="130"/>
      <c r="R814" s="125"/>
      <c r="S814" s="258"/>
      <c r="T814" s="251"/>
    </row>
    <row r="815" spans="1:26">
      <c r="A815" s="37" t="s">
        <v>327</v>
      </c>
      <c r="C815" s="407"/>
      <c r="E815" s="407"/>
      <c r="G815" s="444"/>
      <c r="H815" s="443"/>
      <c r="M815" s="129"/>
      <c r="N815" s="125"/>
      <c r="O815" s="27"/>
      <c r="Q815" s="130"/>
      <c r="R815" s="125"/>
      <c r="S815" s="258"/>
      <c r="T815" s="160"/>
    </row>
    <row r="816" spans="1:26">
      <c r="A816" s="40" t="s">
        <v>13</v>
      </c>
      <c r="C816" s="409">
        <v>12</v>
      </c>
      <c r="E816" s="409">
        <v>12</v>
      </c>
      <c r="G816" s="237">
        <v>200</v>
      </c>
      <c r="H816" s="426"/>
      <c r="I816" s="421">
        <f>ROUND($G816*C816,0)</f>
        <v>2400</v>
      </c>
      <c r="K816" s="421">
        <f>ROUND($G816*E816,0)</f>
        <v>2400</v>
      </c>
      <c r="M816" s="41">
        <f>M326</f>
        <v>226</v>
      </c>
      <c r="N816" s="132"/>
      <c r="O816" s="28">
        <f>ROUND(M816*$E816,0)</f>
        <v>2712</v>
      </c>
      <c r="Q816" s="83"/>
      <c r="R816" s="132"/>
      <c r="S816" s="28"/>
      <c r="T816" s="160"/>
      <c r="X816" s="45">
        <f t="shared" ref="X816:X822" si="306">M816/G816-1</f>
        <v>0.12999999999999989</v>
      </c>
    </row>
    <row r="817" spans="1:26">
      <c r="A817" s="40" t="s">
        <v>135</v>
      </c>
      <c r="C817" s="407">
        <v>369872</v>
      </c>
      <c r="E817" s="407">
        <f>ROUND(C817*$E$823/$C$823,0)</f>
        <v>381681</v>
      </c>
      <c r="G817" s="445">
        <v>1.71</v>
      </c>
      <c r="H817" s="426"/>
      <c r="I817" s="421">
        <f>ROUND($G817*C817,0)</f>
        <v>632481</v>
      </c>
      <c r="K817" s="421">
        <f>ROUND($G817*E817,0)</f>
        <v>652675</v>
      </c>
      <c r="M817" s="78">
        <f t="shared" ref="M817:M822" si="307">M327</f>
        <v>1.94</v>
      </c>
      <c r="N817" s="132"/>
      <c r="O817" s="28">
        <f>ROUND(M817*$E817,0)</f>
        <v>740461</v>
      </c>
      <c r="Q817" s="80"/>
      <c r="R817" s="132"/>
      <c r="S817" s="28"/>
      <c r="T817" s="28"/>
      <c r="X817" s="45">
        <f t="shared" si="306"/>
        <v>0.13450292397660824</v>
      </c>
    </row>
    <row r="818" spans="1:26">
      <c r="A818" s="40" t="s">
        <v>136</v>
      </c>
      <c r="C818" s="407">
        <v>145145</v>
      </c>
      <c r="E818" s="407">
        <f t="shared" ref="E818:E821" si="308">ROUND(C818*$E$823/$C$823,0)</f>
        <v>149779</v>
      </c>
      <c r="G818" s="445">
        <v>10.76</v>
      </c>
      <c r="H818" s="426"/>
      <c r="I818" s="421">
        <f>ROUND($G818*C818,0)</f>
        <v>1561760</v>
      </c>
      <c r="K818" s="421">
        <f>ROUND($G818*E818,0)</f>
        <v>1611622</v>
      </c>
      <c r="M818" s="78">
        <f t="shared" si="307"/>
        <v>12.18</v>
      </c>
      <c r="N818" s="132"/>
      <c r="O818" s="28">
        <f>ROUND(M818*$E818,0)</f>
        <v>1824308</v>
      </c>
      <c r="Q818" s="80">
        <f t="shared" ref="Q818:Q822" si="309">Q328</f>
        <v>-3.73E-2</v>
      </c>
      <c r="R818" s="132"/>
      <c r="S818" s="28">
        <f t="shared" ref="S818:S822" si="310">O818*Q818*254/365</f>
        <v>-47353.037955068488</v>
      </c>
      <c r="T818" s="28"/>
      <c r="W818"/>
      <c r="X818" s="45">
        <f t="shared" si="306"/>
        <v>0.13197026022304836</v>
      </c>
    </row>
    <row r="819" spans="1:26">
      <c r="A819" s="40" t="s">
        <v>137</v>
      </c>
      <c r="C819" s="407">
        <v>203358</v>
      </c>
      <c r="E819" s="407">
        <f t="shared" si="308"/>
        <v>209851</v>
      </c>
      <c r="G819" s="445">
        <v>7.3</v>
      </c>
      <c r="H819" s="426"/>
      <c r="I819" s="421">
        <f>ROUND($G819*C819,0)</f>
        <v>1484513</v>
      </c>
      <c r="K819" s="421">
        <f>ROUND($G819*E819,0)</f>
        <v>1531912</v>
      </c>
      <c r="M819" s="78">
        <f t="shared" si="307"/>
        <v>8.26</v>
      </c>
      <c r="N819" s="132"/>
      <c r="O819" s="28">
        <f>ROUND(M819*$E819,0)</f>
        <v>1733369</v>
      </c>
      <c r="Q819" s="80">
        <f t="shared" si="309"/>
        <v>-3.73E-2</v>
      </c>
      <c r="R819" s="132"/>
      <c r="S819" s="28">
        <f t="shared" si="310"/>
        <v>-44992.560492602737</v>
      </c>
      <c r="T819" s="79"/>
      <c r="X819" s="45">
        <f t="shared" si="306"/>
        <v>0.1315068493150684</v>
      </c>
    </row>
    <row r="820" spans="1:26">
      <c r="A820" s="40" t="s">
        <v>145</v>
      </c>
      <c r="C820" s="407">
        <v>24723600</v>
      </c>
      <c r="E820" s="407">
        <f t="shared" si="308"/>
        <v>25512952</v>
      </c>
      <c r="G820" s="447">
        <v>3.5857999999999999</v>
      </c>
      <c r="H820" s="424" t="s">
        <v>17</v>
      </c>
      <c r="I820" s="421">
        <f>ROUND($G820*C820/100,0)</f>
        <v>886539</v>
      </c>
      <c r="K820" s="421">
        <f>ROUND($G820*E820/100,0)</f>
        <v>914843</v>
      </c>
      <c r="M820" s="156">
        <f t="shared" si="307"/>
        <v>4.0587999999999997</v>
      </c>
      <c r="N820" s="48" t="s">
        <v>17</v>
      </c>
      <c r="O820" s="28">
        <f>ROUND(M820*$E820/100,0)</f>
        <v>1035520</v>
      </c>
      <c r="Q820" s="80">
        <f t="shared" si="309"/>
        <v>-3.73E-2</v>
      </c>
      <c r="R820" s="48"/>
      <c r="S820" s="28">
        <f t="shared" si="310"/>
        <v>-26878.694750684932</v>
      </c>
      <c r="T820" s="79"/>
      <c r="X820" s="45">
        <f t="shared" si="306"/>
        <v>0.13190919738970375</v>
      </c>
      <c r="Y820"/>
    </row>
    <row r="821" spans="1:26">
      <c r="A821" s="40" t="s">
        <v>146</v>
      </c>
      <c r="C821" s="407">
        <v>63254400</v>
      </c>
      <c r="E821" s="407">
        <f t="shared" si="308"/>
        <v>65273929</v>
      </c>
      <c r="G821" s="447">
        <v>2.6962999999999999</v>
      </c>
      <c r="H821" s="424" t="s">
        <v>17</v>
      </c>
      <c r="I821" s="421">
        <f>ROUND($G821*C821/100,0)</f>
        <v>1705528</v>
      </c>
      <c r="K821" s="421">
        <f>ROUND($G821*E821/100,0)</f>
        <v>1759981</v>
      </c>
      <c r="M821" s="156">
        <f t="shared" si="307"/>
        <v>3.052</v>
      </c>
      <c r="N821" s="48" t="s">
        <v>17</v>
      </c>
      <c r="O821" s="28">
        <f>ROUND(M821*$E821/100,0)</f>
        <v>1992160</v>
      </c>
      <c r="Q821" s="80">
        <f t="shared" si="309"/>
        <v>-3.73E-2</v>
      </c>
      <c r="R821" s="48"/>
      <c r="S821" s="28">
        <f t="shared" si="310"/>
        <v>-51709.924032876712</v>
      </c>
      <c r="T821" s="79"/>
      <c r="X821" s="45">
        <f t="shared" si="306"/>
        <v>0.13192152208582142</v>
      </c>
    </row>
    <row r="822" spans="1:26">
      <c r="A822" s="40" t="s">
        <v>138</v>
      </c>
      <c r="C822" s="468">
        <v>151112000</v>
      </c>
      <c r="E822" s="468">
        <f>E823-E820-E821</f>
        <v>155936565.89275721</v>
      </c>
      <c r="G822" s="474">
        <v>2.2517999999999998</v>
      </c>
      <c r="H822" s="424" t="s">
        <v>17</v>
      </c>
      <c r="I822" s="450">
        <f>ROUND($G822*C822/100,0)</f>
        <v>3402740</v>
      </c>
      <c r="K822" s="450">
        <f>ROUND($G822*E822/100,0)</f>
        <v>3511380</v>
      </c>
      <c r="M822" s="248">
        <f t="shared" si="307"/>
        <v>2.5488</v>
      </c>
      <c r="N822" s="48" t="s">
        <v>17</v>
      </c>
      <c r="O822" s="198">
        <f>ROUND(M822*$E822/100,0)</f>
        <v>3974511</v>
      </c>
      <c r="Q822" s="266">
        <f t="shared" si="309"/>
        <v>-3.73E-2</v>
      </c>
      <c r="R822" s="48"/>
      <c r="S822" s="198">
        <f t="shared" si="310"/>
        <v>-103165.23867452054</v>
      </c>
      <c r="T822" s="79"/>
      <c r="X822" s="45">
        <f t="shared" si="306"/>
        <v>0.13189448441247009</v>
      </c>
      <c r="Z822"/>
    </row>
    <row r="823" spans="1:26" ht="16.5" thickBot="1">
      <c r="A823" s="40" t="s">
        <v>43</v>
      </c>
      <c r="C823" s="441">
        <f>SUM(C820:C822)</f>
        <v>239090000</v>
      </c>
      <c r="E823" s="441">
        <v>246723446.89275721</v>
      </c>
      <c r="G823" s="439"/>
      <c r="I823" s="440">
        <f>SUM(I816:I822)</f>
        <v>9675961</v>
      </c>
      <c r="K823" s="440">
        <f>SUM(K816:K822)</f>
        <v>9984813</v>
      </c>
      <c r="M823" s="115"/>
      <c r="O823" s="256">
        <f>SUM(O816:O822)</f>
        <v>11303041</v>
      </c>
      <c r="Q823" s="116"/>
      <c r="S823" s="256">
        <f>SUM(S816:S822)</f>
        <v>-274099.45590575342</v>
      </c>
      <c r="T823" s="28"/>
      <c r="U823" s="27" t="s">
        <v>26</v>
      </c>
      <c r="V823" s="108">
        <f>O823/K823-1</f>
        <v>0.13202330379146821</v>
      </c>
    </row>
    <row r="824" spans="1:26" ht="16.5" thickTop="1">
      <c r="A824" s="40" t="s">
        <v>45</v>
      </c>
      <c r="C824" s="407"/>
      <c r="E824" s="407"/>
      <c r="G824" s="433"/>
      <c r="H824" s="434"/>
      <c r="I824" s="429">
        <v>572964.27319570747</v>
      </c>
      <c r="K824" s="429">
        <f>$Y$327*SUM(K818:K822)</f>
        <v>430036.80736943346</v>
      </c>
      <c r="M824" s="36"/>
      <c r="N824" s="99"/>
      <c r="O824" s="89">
        <v>0</v>
      </c>
      <c r="Q824" s="36"/>
      <c r="R824" s="99"/>
      <c r="S824" s="89"/>
      <c r="T824" s="28"/>
      <c r="U824" s="27" t="s">
        <v>48</v>
      </c>
      <c r="V824" s="108">
        <f>(O823+O824)/(K823+K824)-1</f>
        <v>8.5281229115958368E-2</v>
      </c>
    </row>
    <row r="825" spans="1:26">
      <c r="C825" s="407"/>
      <c r="E825" s="407"/>
      <c r="O825" s="27"/>
      <c r="S825" s="258"/>
      <c r="T825" s="28"/>
    </row>
    <row r="826" spans="1:26">
      <c r="A826" s="37" t="s">
        <v>328</v>
      </c>
      <c r="C826" s="407"/>
      <c r="E826" s="407"/>
      <c r="G826" s="444"/>
      <c r="H826" s="443"/>
      <c r="M826" s="129"/>
      <c r="N826" s="125"/>
      <c r="Q826" s="130"/>
      <c r="R826" s="125"/>
      <c r="T826" s="28"/>
    </row>
    <row r="827" spans="1:26">
      <c r="A827" s="82" t="s">
        <v>329</v>
      </c>
      <c r="B827" s="17"/>
      <c r="C827" s="407">
        <v>1</v>
      </c>
      <c r="E827" s="407">
        <v>1</v>
      </c>
      <c r="G827" s="237">
        <v>0</v>
      </c>
      <c r="H827" s="420"/>
      <c r="I827" s="421">
        <f>ROUND(G827*$C827,0)</f>
        <v>0</v>
      </c>
      <c r="K827" s="421">
        <f>ROUND(G827*$E827,0)</f>
        <v>0</v>
      </c>
      <c r="M827" s="43">
        <v>0</v>
      </c>
      <c r="N827" s="42"/>
      <c r="O827" s="28">
        <f>ROUND(M827*$E827,0)</f>
        <v>0</v>
      </c>
      <c r="Q827" s="44"/>
      <c r="R827" s="42"/>
      <c r="S827" s="28"/>
      <c r="T827" s="79"/>
      <c r="X827" s="45" t="e">
        <f t="shared" ref="X827:X830" si="311">M827/G827-1</f>
        <v>#DIV/0!</v>
      </c>
    </row>
    <row r="828" spans="1:26">
      <c r="A828" s="82" t="s">
        <v>330</v>
      </c>
      <c r="B828" s="17"/>
      <c r="C828" s="407">
        <v>971.99790718477004</v>
      </c>
      <c r="E828" s="407">
        <f>ROUND(C828*E827/C827,0)</f>
        <v>972</v>
      </c>
      <c r="G828" s="470">
        <v>17.775099999999998</v>
      </c>
      <c r="H828" s="471"/>
      <c r="I828" s="421">
        <f>ROUND(G828*$C828,0)</f>
        <v>17277</v>
      </c>
      <c r="K828" s="421">
        <f>ROUND(G828*$E828,0)</f>
        <v>17277</v>
      </c>
      <c r="M828" s="268">
        <v>17.775099999999998</v>
      </c>
      <c r="N828" s="242"/>
      <c r="O828" s="28">
        <f>ROUND(M828*$E828,0)</f>
        <v>17277</v>
      </c>
      <c r="Q828" s="44"/>
      <c r="R828" s="242"/>
      <c r="S828" s="28"/>
      <c r="T828" s="79"/>
      <c r="X828" s="45">
        <f t="shared" si="311"/>
        <v>0</v>
      </c>
    </row>
    <row r="829" spans="1:26">
      <c r="A829" s="82" t="s">
        <v>331</v>
      </c>
      <c r="B829" s="17"/>
      <c r="C829" s="422">
        <v>0</v>
      </c>
      <c r="E829" s="407">
        <f>ROUND(C829*E827/C827,0)</f>
        <v>0</v>
      </c>
      <c r="G829" s="420">
        <v>0</v>
      </c>
      <c r="H829" s="420"/>
      <c r="I829" s="427">
        <f>ROUND(G829*$C829,0)</f>
        <v>0</v>
      </c>
      <c r="K829" s="421">
        <f>ROUND(G829*$E829,0)</f>
        <v>0</v>
      </c>
      <c r="M829" s="42">
        <v>0</v>
      </c>
      <c r="N829" s="42"/>
      <c r="O829" s="28">
        <f>ROUND(M829*$E829,0)</f>
        <v>0</v>
      </c>
      <c r="Q829" s="269"/>
      <c r="R829" s="42"/>
      <c r="S829" s="28"/>
      <c r="T829" s="79"/>
      <c r="X829" s="45" t="e">
        <f t="shared" si="311"/>
        <v>#DIV/0!</v>
      </c>
    </row>
    <row r="830" spans="1:26">
      <c r="A830" s="82" t="s">
        <v>59</v>
      </c>
      <c r="B830" s="17"/>
      <c r="C830" s="407">
        <v>140939.69654179199</v>
      </c>
      <c r="E830" s="407">
        <f>E832</f>
        <v>134183</v>
      </c>
      <c r="G830" s="436">
        <v>0</v>
      </c>
      <c r="H830" s="424" t="s">
        <v>17</v>
      </c>
      <c r="I830" s="421">
        <f>ROUND(G830*$C830/100,0)</f>
        <v>0</v>
      </c>
      <c r="K830" s="421">
        <f>ROUND(G830*$E830/100,0)</f>
        <v>0</v>
      </c>
      <c r="M830" s="270">
        <v>0</v>
      </c>
      <c r="N830" s="48" t="s">
        <v>17</v>
      </c>
      <c r="O830" s="28">
        <f>ROUND(M830*$E830/100,0)</f>
        <v>0</v>
      </c>
      <c r="Q830" s="269"/>
      <c r="R830" s="48"/>
      <c r="S830" s="28"/>
      <c r="X830" s="45" t="e">
        <f t="shared" si="311"/>
        <v>#DIV/0!</v>
      </c>
    </row>
    <row r="831" spans="1:26">
      <c r="A831" s="15" t="s">
        <v>129</v>
      </c>
      <c r="C831" s="461">
        <v>0</v>
      </c>
      <c r="E831" s="461">
        <v>0</v>
      </c>
      <c r="G831" s="444"/>
      <c r="H831" s="443"/>
      <c r="I831" s="429">
        <v>0</v>
      </c>
      <c r="K831" s="429">
        <v>0</v>
      </c>
      <c r="M831" s="129"/>
      <c r="N831" s="125"/>
      <c r="O831" s="89">
        <v>0</v>
      </c>
      <c r="Q831" s="130"/>
      <c r="R831" s="125"/>
      <c r="S831" s="89"/>
      <c r="T831" s="28"/>
    </row>
    <row r="832" spans="1:26" ht="16.5" thickBot="1">
      <c r="A832" s="82" t="s">
        <v>43</v>
      </c>
      <c r="B832" s="17"/>
      <c r="C832" s="441">
        <f>C831+C830</f>
        <v>140939.69654179199</v>
      </c>
      <c r="E832" s="441">
        <v>134183</v>
      </c>
      <c r="G832" s="442"/>
      <c r="H832" s="443"/>
      <c r="I832" s="440">
        <f>SUM(I827:I831)</f>
        <v>17277</v>
      </c>
      <c r="K832" s="440">
        <f>SUM(K827:K831)</f>
        <v>17277</v>
      </c>
      <c r="M832" s="126"/>
      <c r="N832" s="125"/>
      <c r="O832" s="114">
        <f>SUM(O827:O831)</f>
        <v>17277</v>
      </c>
      <c r="Q832" s="127"/>
      <c r="R832" s="125"/>
      <c r="S832" s="114"/>
      <c r="T832" s="28"/>
    </row>
    <row r="833" spans="1:24" ht="16.5" thickTop="1">
      <c r="A833" s="82"/>
      <c r="B833" s="17"/>
      <c r="C833" s="422"/>
      <c r="E833" s="422"/>
      <c r="G833" s="443"/>
      <c r="H833" s="443"/>
      <c r="I833" s="427"/>
      <c r="K833" s="427"/>
      <c r="M833" s="125"/>
      <c r="N833" s="125"/>
      <c r="O833" s="79"/>
      <c r="Q833" s="201"/>
      <c r="R833" s="125"/>
      <c r="S833" s="79"/>
      <c r="T833" s="79"/>
    </row>
    <row r="834" spans="1:24">
      <c r="A834" s="37" t="s">
        <v>332</v>
      </c>
      <c r="C834" s="407"/>
      <c r="E834" s="407"/>
      <c r="T834" s="79"/>
    </row>
    <row r="835" spans="1:24">
      <c r="A835" s="40" t="s">
        <v>333</v>
      </c>
      <c r="C835" s="407">
        <v>172.14220183486199</v>
      </c>
      <c r="E835" s="407">
        <f>ROUND(C835*($E$839/$C$839),0)</f>
        <v>91</v>
      </c>
      <c r="G835" s="237">
        <v>2.1800000000000002</v>
      </c>
      <c r="H835" s="420"/>
      <c r="I835" s="421">
        <f>ROUND(G835*$C835,0)</f>
        <v>375</v>
      </c>
      <c r="K835" s="421">
        <f>ROUND(G835*$E835,0)</f>
        <v>198</v>
      </c>
      <c r="M835" s="41">
        <v>2.1800000000000002</v>
      </c>
      <c r="N835" s="42"/>
      <c r="O835" s="28">
        <f>ROUND(M835*$E835,0)</f>
        <v>198</v>
      </c>
      <c r="Q835" s="83"/>
      <c r="R835" s="42"/>
      <c r="S835" s="28"/>
      <c r="T835" s="17"/>
      <c r="X835" s="45">
        <f t="shared" ref="X835:X837" si="312">M835/G835-1</f>
        <v>0</v>
      </c>
    </row>
    <row r="836" spans="1:24">
      <c r="A836" s="40" t="s">
        <v>334</v>
      </c>
      <c r="C836" s="407">
        <v>367.53133864031503</v>
      </c>
      <c r="E836" s="407">
        <f>ROUND(C836*($E$839/$C$839),0)</f>
        <v>195</v>
      </c>
      <c r="G836" s="470">
        <v>2.1858</v>
      </c>
      <c r="H836" s="420"/>
      <c r="I836" s="421">
        <f>ROUND(G836*$C836,0)</f>
        <v>803</v>
      </c>
      <c r="K836" s="421">
        <f>ROUND(G836*$E836,0)</f>
        <v>426</v>
      </c>
      <c r="M836" s="241">
        <v>2.1858</v>
      </c>
      <c r="N836" s="42"/>
      <c r="O836" s="28">
        <f>ROUND(M836*$E836,0)</f>
        <v>426</v>
      </c>
      <c r="Q836" s="83"/>
      <c r="R836" s="42"/>
      <c r="S836" s="28"/>
      <c r="X836" s="45">
        <f t="shared" si="312"/>
        <v>0</v>
      </c>
    </row>
    <row r="837" spans="1:24">
      <c r="A837" s="40" t="s">
        <v>102</v>
      </c>
      <c r="C837" s="428">
        <v>1.93333333333333</v>
      </c>
      <c r="E837" s="428">
        <f>ROUND(C837*($E$839/$C$839),0)</f>
        <v>1</v>
      </c>
      <c r="G837" s="486">
        <v>4.8</v>
      </c>
      <c r="H837" s="420"/>
      <c r="I837" s="429">
        <f>ROUND(G837*$C837,0)</f>
        <v>9</v>
      </c>
      <c r="K837" s="429">
        <f>ROUND(G837*$E837,0)</f>
        <v>5</v>
      </c>
      <c r="M837" s="271">
        <v>4.8</v>
      </c>
      <c r="N837" s="42"/>
      <c r="O837" s="89">
        <f>ROUND(M837*$E837,0)</f>
        <v>5</v>
      </c>
      <c r="Q837" s="272"/>
      <c r="R837" s="42"/>
      <c r="S837" s="89"/>
      <c r="T837" s="79"/>
      <c r="X837" s="45">
        <f t="shared" si="312"/>
        <v>0</v>
      </c>
    </row>
    <row r="838" spans="1:24">
      <c r="A838" s="40" t="s">
        <v>217</v>
      </c>
      <c r="C838" s="428">
        <f>SUM(C835:C837)</f>
        <v>541.60687380851027</v>
      </c>
      <c r="E838" s="428">
        <f>SUM(E835:E837)</f>
        <v>287</v>
      </c>
      <c r="G838" s="459"/>
      <c r="I838" s="429">
        <f>SUM(I835:I837)</f>
        <v>1187</v>
      </c>
      <c r="K838" s="429">
        <f>SUM(K835:K837)</f>
        <v>629</v>
      </c>
      <c r="M838" s="199"/>
      <c r="O838" s="89">
        <f>SUM(O835:O837)</f>
        <v>629</v>
      </c>
      <c r="Q838" s="200"/>
      <c r="S838" s="89"/>
      <c r="T838" s="273"/>
    </row>
    <row r="839" spans="1:24" ht="16.5" thickBot="1">
      <c r="A839" s="40" t="s">
        <v>335</v>
      </c>
      <c r="C839" s="460">
        <v>15783.932673780109</v>
      </c>
      <c r="E839" s="460">
        <v>8374.76</v>
      </c>
      <c r="G839" s="439"/>
      <c r="I839" s="439"/>
      <c r="K839" s="439"/>
      <c r="M839" s="115"/>
      <c r="O839" s="115"/>
      <c r="Q839" s="116"/>
      <c r="S839" s="274"/>
    </row>
    <row r="840" spans="1:24" ht="16.5" thickTop="1">
      <c r="A840" s="40" t="s">
        <v>131</v>
      </c>
      <c r="C840" s="419">
        <v>4.4166666666666696</v>
      </c>
      <c r="E840" s="419">
        <v>5</v>
      </c>
    </row>
    <row r="841" spans="1:24">
      <c r="A841" s="40" t="s">
        <v>129</v>
      </c>
      <c r="C841" s="461">
        <v>0</v>
      </c>
      <c r="E841" s="461">
        <v>0</v>
      </c>
      <c r="G841" s="459"/>
      <c r="I841" s="429">
        <v>0</v>
      </c>
      <c r="K841" s="429"/>
      <c r="M841" s="199"/>
      <c r="O841" s="89">
        <v>0</v>
      </c>
      <c r="Q841" s="200"/>
      <c r="S841" s="89"/>
      <c r="T841" s="28"/>
    </row>
    <row r="842" spans="1:24" ht="16.5" thickBot="1">
      <c r="A842" s="40" t="s">
        <v>218</v>
      </c>
      <c r="C842" s="460">
        <f>C841+C839</f>
        <v>15783.932673780109</v>
      </c>
      <c r="E842" s="460">
        <f>E841+E839</f>
        <v>8374.76</v>
      </c>
      <c r="G842" s="462"/>
      <c r="H842" s="463"/>
      <c r="I842" s="462">
        <f>I841+I838</f>
        <v>1187</v>
      </c>
      <c r="K842" s="462">
        <f>K841+K838</f>
        <v>629</v>
      </c>
      <c r="M842" s="275"/>
      <c r="N842" s="273"/>
      <c r="O842" s="275">
        <f>O841+O838</f>
        <v>629</v>
      </c>
      <c r="Q842" s="276"/>
      <c r="R842" s="273"/>
      <c r="S842" s="277"/>
      <c r="T842" s="28"/>
    </row>
    <row r="843" spans="1:24" ht="16.5" thickTop="1">
      <c r="C843" s="407"/>
      <c r="E843" s="407"/>
      <c r="T843" s="28"/>
    </row>
    <row r="844" spans="1:24">
      <c r="A844" s="257" t="s">
        <v>336</v>
      </c>
      <c r="B844" s="17"/>
      <c r="G844" s="444"/>
      <c r="H844" s="443"/>
      <c r="M844" s="129"/>
      <c r="N844" s="125"/>
      <c r="Q844" s="130"/>
      <c r="R844" s="125"/>
      <c r="T844" s="28"/>
    </row>
    <row r="845" spans="1:24">
      <c r="A845" s="82" t="s">
        <v>337</v>
      </c>
      <c r="B845" s="17"/>
      <c r="C845" s="487"/>
      <c r="E845" s="487"/>
      <c r="G845" s="444"/>
      <c r="H845" s="443"/>
      <c r="I845" s="421">
        <v>39382.519999999997</v>
      </c>
      <c r="K845" s="421">
        <f t="shared" ref="K845:K851" si="313">I845</f>
        <v>39382.519999999997</v>
      </c>
      <c r="M845" s="129"/>
      <c r="N845" s="125"/>
      <c r="O845" s="28">
        <f t="shared" ref="O845:O851" si="314">K845</f>
        <v>39382.519999999997</v>
      </c>
      <c r="Q845" s="130"/>
      <c r="R845" s="125"/>
      <c r="S845" s="28"/>
      <c r="T845" s="28"/>
    </row>
    <row r="846" spans="1:24">
      <c r="A846" s="82" t="s">
        <v>338</v>
      </c>
      <c r="B846" s="17"/>
      <c r="C846" s="487"/>
      <c r="E846" s="487"/>
      <c r="G846" s="444"/>
      <c r="H846" s="443"/>
      <c r="I846" s="421">
        <v>3194756.79</v>
      </c>
      <c r="K846" s="421">
        <f t="shared" si="313"/>
        <v>3194756.79</v>
      </c>
      <c r="M846" s="129"/>
      <c r="N846" s="125"/>
      <c r="O846" s="28">
        <f t="shared" si="314"/>
        <v>3194756.79</v>
      </c>
      <c r="Q846" s="130"/>
      <c r="R846" s="125"/>
      <c r="S846" s="28"/>
      <c r="T846" s="79"/>
      <c r="W846" s="279"/>
    </row>
    <row r="847" spans="1:24">
      <c r="A847" s="82" t="s">
        <v>339</v>
      </c>
      <c r="B847" s="17"/>
      <c r="C847" s="487"/>
      <c r="E847" s="487"/>
      <c r="G847" s="444"/>
      <c r="H847" s="443"/>
      <c r="I847" s="421">
        <v>126393.91999999998</v>
      </c>
      <c r="K847" s="421">
        <f t="shared" si="313"/>
        <v>126393.91999999998</v>
      </c>
      <c r="M847" s="129"/>
      <c r="N847" s="125"/>
      <c r="O847" s="28">
        <f t="shared" si="314"/>
        <v>126393.91999999998</v>
      </c>
      <c r="Q847" s="130"/>
      <c r="R847" s="125"/>
      <c r="S847" s="28"/>
      <c r="T847" s="28"/>
    </row>
    <row r="848" spans="1:24">
      <c r="A848" s="82" t="s">
        <v>340</v>
      </c>
      <c r="B848" s="17"/>
      <c r="C848" s="487"/>
      <c r="E848" s="487"/>
      <c r="G848" s="444"/>
      <c r="H848" s="443"/>
      <c r="I848" s="421">
        <v>212407.36000000002</v>
      </c>
      <c r="K848" s="421">
        <f t="shared" si="313"/>
        <v>212407.36000000002</v>
      </c>
      <c r="M848" s="129"/>
      <c r="N848" s="125"/>
      <c r="O848" s="28">
        <f t="shared" si="314"/>
        <v>212407.36000000002</v>
      </c>
      <c r="Q848" s="130"/>
      <c r="R848" s="125"/>
      <c r="S848" s="28"/>
      <c r="T848" s="28"/>
    </row>
    <row r="849" spans="1:26">
      <c r="A849" s="82" t="s">
        <v>341</v>
      </c>
      <c r="B849" s="17"/>
      <c r="C849" s="487"/>
      <c r="E849" s="487"/>
      <c r="G849" s="444"/>
      <c r="H849" s="443"/>
      <c r="I849" s="421">
        <v>4682.84</v>
      </c>
      <c r="K849" s="421">
        <f t="shared" si="313"/>
        <v>4682.84</v>
      </c>
      <c r="M849" s="129"/>
      <c r="N849" s="125"/>
      <c r="O849" s="28">
        <f t="shared" si="314"/>
        <v>4682.84</v>
      </c>
      <c r="Q849" s="130"/>
      <c r="R849" s="125"/>
      <c r="S849" s="28"/>
      <c r="T849" s="28"/>
      <c r="X849" s="279"/>
      <c r="Y849" s="280"/>
    </row>
    <row r="850" spans="1:26">
      <c r="A850" s="82" t="s">
        <v>342</v>
      </c>
      <c r="B850" s="17"/>
      <c r="C850" s="487"/>
      <c r="E850" s="487"/>
      <c r="G850" s="444"/>
      <c r="H850" s="443"/>
      <c r="I850" s="421">
        <v>0</v>
      </c>
      <c r="K850" s="421">
        <f t="shared" si="313"/>
        <v>0</v>
      </c>
      <c r="M850" s="129"/>
      <c r="N850" s="125"/>
      <c r="O850" s="28">
        <f t="shared" si="314"/>
        <v>0</v>
      </c>
      <c r="Q850" s="130"/>
      <c r="R850" s="125"/>
      <c r="S850" s="28"/>
      <c r="T850" s="79"/>
    </row>
    <row r="851" spans="1:26">
      <c r="A851" s="82" t="s">
        <v>343</v>
      </c>
      <c r="B851" s="17"/>
      <c r="C851" s="488"/>
      <c r="E851" s="488"/>
      <c r="G851" s="489"/>
      <c r="H851" s="443"/>
      <c r="I851" s="450">
        <v>0</v>
      </c>
      <c r="K851" s="450">
        <f t="shared" si="313"/>
        <v>0</v>
      </c>
      <c r="M851" s="282"/>
      <c r="N851" s="125"/>
      <c r="O851" s="198">
        <f t="shared" si="314"/>
        <v>0</v>
      </c>
      <c r="Q851" s="250"/>
      <c r="R851" s="125"/>
      <c r="S851" s="198"/>
      <c r="T851" s="28"/>
      <c r="Z851" s="279"/>
    </row>
    <row r="852" spans="1:26" ht="16.5" thickBot="1">
      <c r="A852" s="82" t="s">
        <v>344</v>
      </c>
      <c r="B852" s="17"/>
      <c r="C852" s="490"/>
      <c r="E852" s="490"/>
      <c r="G852" s="482"/>
      <c r="H852" s="443"/>
      <c r="I852" s="432">
        <f>SUM(I845:I851)</f>
        <v>3577623.4299999997</v>
      </c>
      <c r="K852" s="432">
        <f>SUM(K845:K851)</f>
        <v>3577623.4299999997</v>
      </c>
      <c r="M852" s="262"/>
      <c r="N852" s="125"/>
      <c r="O852" s="94">
        <f>SUM(O845:O851)</f>
        <v>3577623.4299999997</v>
      </c>
      <c r="Q852" s="263"/>
      <c r="R852" s="125"/>
      <c r="S852" s="94"/>
    </row>
    <row r="853" spans="1:26" ht="16.5" thickTop="1">
      <c r="A853" s="105"/>
      <c r="B853" s="17"/>
      <c r="G853" s="444"/>
      <c r="H853" s="443"/>
      <c r="I853" s="421"/>
      <c r="K853" s="421"/>
      <c r="M853" s="129"/>
      <c r="N853" s="125"/>
      <c r="O853" s="28"/>
      <c r="Q853" s="130"/>
      <c r="R853" s="125"/>
      <c r="S853" s="28"/>
      <c r="U853" s="129"/>
      <c r="V853" s="280"/>
    </row>
    <row r="854" spans="1:26" ht="16.5" thickBot="1">
      <c r="A854" s="93" t="s">
        <v>345</v>
      </c>
      <c r="B854" s="95"/>
      <c r="C854" s="490">
        <f>C27+C48+C71+C97+C111+C125+C209+C181+C195+C279+C293+C334+C384+C394+C412+C430+C484+C577+C588+C596+C615+C630+C728+C781+C791+C795+C812+C823+C832+C842+C852</f>
        <v>22211961953.49374</v>
      </c>
      <c r="E854" s="490">
        <f>E27+E48+E71+E97+E111+E125+E209+E181+E195+E279+E293+E334+E384+E394+E412+E430+E484+E577+E588+E596+E615+E630+E728+E781+E791+E795+E812+E823+E832+E842+E852</f>
        <v>24441812591.05917</v>
      </c>
      <c r="G854" s="431"/>
      <c r="I854" s="432">
        <f>I27+I48+I71+I97+I111+I125+I209+I181+I195+I279+I293+I334+I384+I394+I412+I430+I484+I577+I588+I596+I615+I630+I728+I781+I791+I795+I812+I823+I832+I842+I852</f>
        <v>1513396832.726965</v>
      </c>
      <c r="K854" s="432">
        <f>K27+K48+K71+K97+K111+K125+K209+K181+K195+K279+K293+K334+K384+K394+K412+K430+K484+K577+K588+K596+K615+K630+K728+K781+K791+K795+K812+K823+K832+K842+K852</f>
        <v>1638141192.2535269</v>
      </c>
      <c r="M854" s="95"/>
      <c r="O854" s="94">
        <f>O27+O48+O71+O97+O111+O125+O209+O181+O195+O279+O293+O334+O384+O394+O412+O430+O484+O577+O588+O596+O615+O630+O728+O781+O791+O795+O812+O823+O832+O842+O852</f>
        <v>1819237627.2535269</v>
      </c>
      <c r="Q854" s="96"/>
      <c r="S854" s="94">
        <f>S27+S48+S71+S97+S111+S125+S209+S181+S195+S279+S293+S334+S384+S394+S412+S430+S484+S577+S588+S596+S615+S630+S728+S781+S791+S795+S812+S823+S832+S842+S852</f>
        <v>-33605646.299312331</v>
      </c>
      <c r="U854" s="28">
        <f>S854-Stipulation!H25*1000</f>
        <v>-5646.2993123233318</v>
      </c>
      <c r="V854" s="280">
        <f>W16+W120+W201+W272+W286+W327+W379+W406+W583+W593+W610+W621</f>
        <v>-33600000.000000007</v>
      </c>
    </row>
    <row r="855" spans="1:26" ht="16.5" thickTop="1">
      <c r="A855" s="15" t="s">
        <v>346</v>
      </c>
      <c r="G855" s="444"/>
      <c r="H855" s="443"/>
      <c r="I855" s="421">
        <f>I28+I49+I72+I83+I126+I210+I182+I196+I280+I294+I335+I385+I395+I413+I431+I485+I578+I589+I597+I616+I631+I729+I782+I813+I824</f>
        <v>64096637.268458903</v>
      </c>
      <c r="K855" s="421">
        <f>K28+K49+K72+K83+K126+K210+K182+K196+K280+K294+K335+K385+K395+K413+K431+K485+K578+K589+K597+K616+K631+K729+K782+K813+K824</f>
        <v>64096637.26845891</v>
      </c>
      <c r="M855" s="129"/>
      <c r="N855" s="125"/>
      <c r="O855" s="28">
        <f>O28+O49+O72+O83+O126+O210+O182+O196+O280+O294+O335+O385+O395+O413+O431+O485+O578+O589+O597+O616+O631+O729+O782+O813+O824</f>
        <v>0</v>
      </c>
      <c r="Q855" s="130"/>
      <c r="R855" s="125"/>
      <c r="S855" s="28">
        <f>S28+S49+S72+S83+S126+S210+S182+S196+S280+S294+S335+S385+S395+S413+S431+S485+S578+S589+S597+S616+S631+S729+S782+S813+S824</f>
        <v>0</v>
      </c>
      <c r="V855" s="280">
        <f>V854-Stipulation!H25*1000</f>
        <v>0</v>
      </c>
    </row>
    <row r="856" spans="1:26" ht="16.5" thickBot="1">
      <c r="A856" s="93" t="s">
        <v>347</v>
      </c>
      <c r="B856" s="95"/>
      <c r="C856" s="490">
        <f>C854+C855</f>
        <v>22211961953.49374</v>
      </c>
      <c r="E856" s="490">
        <f>E854+E855</f>
        <v>24441812591.05917</v>
      </c>
      <c r="G856" s="431"/>
      <c r="I856" s="432">
        <f>I854+I855</f>
        <v>1577493469.9954238</v>
      </c>
      <c r="K856" s="432">
        <f>K854+K855</f>
        <v>1702237829.5219858</v>
      </c>
      <c r="M856" s="95"/>
      <c r="O856" s="94">
        <f>O854+O855</f>
        <v>1819237627.2535269</v>
      </c>
      <c r="Q856" s="96"/>
      <c r="S856" s="94">
        <f>S854+S855</f>
        <v>-33605646.299312331</v>
      </c>
    </row>
    <row r="857" spans="1:26" ht="16.5" thickTop="1"/>
  </sheetData>
  <printOptions horizontalCentered="1"/>
  <pageMargins left="1" right="0.5" top="1" bottom="0.55000000000000004" header="0.25" footer="0.25"/>
  <pageSetup scale="46" fitToHeight="88" orientation="portrait" r:id="rId1"/>
  <headerFooter alignWithMargins="0"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7"/>
  <sheetViews>
    <sheetView view="pageBreakPreview" zoomScale="60" zoomScaleNormal="75" workbookViewId="0">
      <selection activeCell="Y20" sqref="Y20"/>
    </sheetView>
  </sheetViews>
  <sheetFormatPr defaultRowHeight="15.75"/>
  <cols>
    <col min="1" max="1" width="4.625" style="290" customWidth="1"/>
    <col min="2" max="2" width="1.625" style="290" customWidth="1"/>
    <col min="3" max="3" width="39.375" style="290" customWidth="1"/>
    <col min="4" max="4" width="0.75" style="300" customWidth="1"/>
    <col min="5" max="5" width="7.625" style="290" customWidth="1"/>
    <col min="6" max="6" width="0.75" style="300" customWidth="1"/>
    <col min="7" max="7" width="7.75" style="290" customWidth="1"/>
    <col min="8" max="8" width="0.75" style="300" customWidth="1"/>
    <col min="9" max="9" width="11.625" style="300" customWidth="1"/>
    <col min="10" max="10" width="0.75" style="300" customWidth="1"/>
    <col min="11" max="11" width="11.75" style="300" customWidth="1"/>
    <col min="12" max="12" width="1.25" style="300" customWidth="1"/>
    <col min="13" max="13" width="11" style="300" customWidth="1"/>
    <col min="14" max="14" width="1.25" style="300" customWidth="1"/>
    <col min="15" max="15" width="10.875" style="300" customWidth="1"/>
    <col min="16" max="16" width="1" style="300" customWidth="1"/>
    <col min="17" max="17" width="9.875" style="300" bestFit="1" customWidth="1"/>
    <col min="18" max="18" width="1" style="300" customWidth="1"/>
    <col min="19" max="19" width="8.5" style="301" bestFit="1" customWidth="1"/>
    <col min="20" max="20" width="1.125" style="300" customWidth="1"/>
    <col min="21" max="21" width="7.25" style="302" customWidth="1"/>
    <col min="22" max="22" width="2.875" style="300" customWidth="1"/>
    <col min="23" max="23" width="10.875" style="300" customWidth="1"/>
    <col min="24" max="24" width="1" style="300" customWidth="1"/>
    <col min="25" max="25" width="8.5" style="301" bestFit="1" customWidth="1"/>
    <col min="26" max="26" width="3.625" style="303" customWidth="1"/>
    <col min="27" max="27" width="9.75" style="301" bestFit="1" customWidth="1"/>
    <col min="28" max="16384" width="9" style="290"/>
  </cols>
  <sheetData>
    <row r="1" spans="1:27">
      <c r="A1" s="284" t="s">
        <v>348</v>
      </c>
      <c r="B1" s="284"/>
      <c r="C1" s="284"/>
      <c r="D1" s="285"/>
      <c r="E1" s="284"/>
      <c r="F1" s="285"/>
      <c r="G1" s="284"/>
      <c r="H1" s="285"/>
      <c r="I1" s="285"/>
      <c r="J1" s="285"/>
      <c r="K1" s="285"/>
      <c r="L1" s="285"/>
      <c r="M1" s="286"/>
      <c r="N1" s="285"/>
      <c r="O1" s="286"/>
      <c r="P1" s="285"/>
      <c r="Q1" s="286"/>
      <c r="R1" s="285"/>
      <c r="S1" s="287"/>
      <c r="T1" s="285"/>
      <c r="U1" s="288"/>
      <c r="V1" s="285"/>
      <c r="W1" s="286"/>
      <c r="X1" s="285"/>
      <c r="Y1" s="287"/>
      <c r="Z1" s="289"/>
      <c r="AA1" s="287"/>
    </row>
    <row r="2" spans="1:27" s="294" customFormat="1">
      <c r="A2" s="284" t="s">
        <v>349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2"/>
      <c r="T2" s="291"/>
      <c r="U2" s="291"/>
      <c r="V2" s="291"/>
      <c r="W2" s="291"/>
      <c r="X2" s="291"/>
      <c r="Y2" s="292"/>
      <c r="Z2" s="293"/>
      <c r="AA2" s="292"/>
    </row>
    <row r="3" spans="1:27" s="294" customFormat="1">
      <c r="A3" s="284" t="s">
        <v>350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2"/>
      <c r="T3" s="291"/>
      <c r="U3" s="291"/>
      <c r="V3" s="291"/>
      <c r="W3" s="291"/>
      <c r="X3" s="291"/>
      <c r="Y3" s="292"/>
      <c r="Z3" s="293"/>
      <c r="AA3" s="292"/>
    </row>
    <row r="4" spans="1:27" s="294" customFormat="1">
      <c r="A4" s="284" t="s">
        <v>351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2"/>
      <c r="T4" s="291"/>
      <c r="U4" s="291"/>
      <c r="V4" s="291"/>
      <c r="W4" s="291"/>
      <c r="X4" s="291"/>
      <c r="Y4" s="292"/>
      <c r="Z4" s="293"/>
      <c r="AA4" s="292"/>
    </row>
    <row r="5" spans="1:27" s="294" customFormat="1">
      <c r="A5" s="284" t="s">
        <v>448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2"/>
      <c r="T5" s="291"/>
      <c r="U5" s="291"/>
      <c r="V5" s="291"/>
      <c r="W5" s="291"/>
      <c r="X5" s="291"/>
      <c r="Y5" s="292"/>
      <c r="Z5" s="293"/>
      <c r="AA5" s="292"/>
    </row>
    <row r="6" spans="1:27">
      <c r="A6" s="284" t="s">
        <v>449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86"/>
      <c r="O6" s="295"/>
      <c r="P6" s="295"/>
      <c r="Q6" s="295"/>
      <c r="R6" s="295"/>
      <c r="S6" s="296"/>
      <c r="T6" s="295"/>
      <c r="U6" s="295"/>
      <c r="V6" s="286"/>
      <c r="W6" s="295"/>
      <c r="X6" s="295"/>
      <c r="Y6" s="296"/>
      <c r="Z6" s="297"/>
      <c r="AA6" s="296"/>
    </row>
    <row r="7" spans="1:27" ht="10.5" customHeight="1">
      <c r="A7" s="284"/>
      <c r="B7" s="284"/>
      <c r="C7" s="284"/>
      <c r="D7" s="285"/>
      <c r="E7" s="284"/>
      <c r="F7" s="285"/>
      <c r="G7" s="284"/>
      <c r="H7" s="285"/>
      <c r="I7" s="285"/>
      <c r="J7" s="285"/>
      <c r="K7" s="285"/>
      <c r="L7" s="285"/>
      <c r="M7" s="286"/>
      <c r="N7" s="285"/>
      <c r="O7" s="286"/>
      <c r="P7" s="285"/>
      <c r="Q7" s="286"/>
      <c r="R7" s="285"/>
      <c r="S7" s="287"/>
      <c r="T7" s="285"/>
      <c r="U7" s="288"/>
      <c r="V7" s="285"/>
      <c r="W7" s="286"/>
      <c r="X7" s="285"/>
      <c r="Y7" s="287"/>
      <c r="Z7" s="289"/>
      <c r="AA7" s="287"/>
    </row>
    <row r="8" spans="1:27">
      <c r="D8" s="298"/>
      <c r="F8" s="298"/>
      <c r="H8" s="298"/>
      <c r="I8" s="299"/>
      <c r="J8" s="298"/>
      <c r="L8" s="298"/>
      <c r="N8" s="298"/>
      <c r="V8" s="298"/>
    </row>
    <row r="9" spans="1:27">
      <c r="D9" s="299"/>
      <c r="E9" s="304" t="s">
        <v>352</v>
      </c>
      <c r="F9" s="299"/>
      <c r="G9" s="304" t="s">
        <v>353</v>
      </c>
      <c r="H9" s="299"/>
      <c r="I9" s="299" t="s">
        <v>354</v>
      </c>
      <c r="J9" s="299"/>
      <c r="K9" s="299"/>
      <c r="L9" s="299"/>
      <c r="M9" s="305" t="s">
        <v>2</v>
      </c>
      <c r="N9" s="299"/>
      <c r="O9" s="306" t="s">
        <v>355</v>
      </c>
      <c r="P9" s="306"/>
      <c r="Q9" s="306"/>
      <c r="R9" s="306"/>
      <c r="S9" s="307"/>
      <c r="T9" s="306"/>
      <c r="U9" s="308"/>
      <c r="V9" s="299"/>
      <c r="Z9" s="298"/>
    </row>
    <row r="10" spans="1:27" s="309" customFormat="1">
      <c r="A10" s="309" t="s">
        <v>356</v>
      </c>
      <c r="D10" s="299"/>
      <c r="E10" s="304" t="s">
        <v>357</v>
      </c>
      <c r="F10" s="299"/>
      <c r="G10" s="304" t="s">
        <v>357</v>
      </c>
      <c r="H10" s="299"/>
      <c r="I10" s="305" t="s">
        <v>131</v>
      </c>
      <c r="J10" s="299"/>
      <c r="K10" s="299" t="s">
        <v>358</v>
      </c>
      <c r="L10" s="305"/>
      <c r="M10" s="299" t="s">
        <v>359</v>
      </c>
      <c r="N10" s="305"/>
      <c r="O10" s="305" t="s">
        <v>359</v>
      </c>
      <c r="P10" s="305"/>
      <c r="Q10" s="306" t="s">
        <v>360</v>
      </c>
      <c r="R10" s="306"/>
      <c r="S10" s="307"/>
      <c r="T10" s="299"/>
      <c r="U10" s="310" t="s">
        <v>361</v>
      </c>
      <c r="V10" s="305"/>
      <c r="W10" s="306" t="s">
        <v>362</v>
      </c>
      <c r="X10" s="306"/>
      <c r="Y10" s="307"/>
      <c r="Z10" s="289"/>
      <c r="AA10" s="307" t="s">
        <v>363</v>
      </c>
    </row>
    <row r="11" spans="1:27" s="309" customFormat="1">
      <c r="A11" s="309" t="s">
        <v>364</v>
      </c>
      <c r="C11" s="304" t="s">
        <v>365</v>
      </c>
      <c r="E11" s="311" t="s">
        <v>364</v>
      </c>
      <c r="G11" s="311" t="s">
        <v>364</v>
      </c>
      <c r="I11" s="312" t="s">
        <v>366</v>
      </c>
      <c r="K11" s="312" t="s">
        <v>366</v>
      </c>
      <c r="M11" s="313" t="s">
        <v>367</v>
      </c>
      <c r="O11" s="313" t="s">
        <v>367</v>
      </c>
      <c r="Q11" s="313" t="s">
        <v>367</v>
      </c>
      <c r="S11" s="314" t="s">
        <v>368</v>
      </c>
      <c r="U11" s="315" t="s">
        <v>369</v>
      </c>
      <c r="W11" s="313" t="s">
        <v>367</v>
      </c>
      <c r="Y11" s="314" t="s">
        <v>368</v>
      </c>
      <c r="Z11" s="316"/>
      <c r="AA11" s="314" t="s">
        <v>360</v>
      </c>
    </row>
    <row r="12" spans="1:27" s="309" customFormat="1">
      <c r="C12" s="317">
        <v>-1</v>
      </c>
      <c r="D12" s="318"/>
      <c r="E12" s="317">
        <f>MIN($A12:D12)-1</f>
        <v>-2</v>
      </c>
      <c r="F12" s="318"/>
      <c r="G12" s="317">
        <f>MIN($A12:F12)-1</f>
        <v>-3</v>
      </c>
      <c r="H12" s="318"/>
      <c r="I12" s="317">
        <f>MIN($A12:H12)-1</f>
        <v>-4</v>
      </c>
      <c r="J12" s="318"/>
      <c r="K12" s="317">
        <f>MIN($A12:J12)-1</f>
        <v>-5</v>
      </c>
      <c r="L12" s="318"/>
      <c r="M12" s="317">
        <f>MIN($A12:L12)-1</f>
        <v>-6</v>
      </c>
      <c r="N12" s="318"/>
      <c r="O12" s="317">
        <f>MIN($A12:N12)-1</f>
        <v>-7</v>
      </c>
      <c r="P12" s="318"/>
      <c r="Q12" s="317">
        <f>MIN($A12:P12)-1</f>
        <v>-8</v>
      </c>
      <c r="R12" s="318"/>
      <c r="S12" s="317">
        <f>MIN($A12:R12)-1</f>
        <v>-9</v>
      </c>
      <c r="T12" s="318"/>
      <c r="U12" s="317">
        <f>MIN($A12:T12)-1</f>
        <v>-10</v>
      </c>
      <c r="V12" s="318"/>
      <c r="W12" s="317">
        <f>MIN($A12:V12)-1</f>
        <v>-11</v>
      </c>
      <c r="X12" s="318"/>
      <c r="Y12" s="317">
        <f>MIN($A12:X12)-1</f>
        <v>-12</v>
      </c>
      <c r="Z12" s="319"/>
      <c r="AA12" s="317">
        <f>MIN($A12:Z12)-1</f>
        <v>-13</v>
      </c>
    </row>
    <row r="13" spans="1:27" s="309" customFormat="1">
      <c r="D13" s="320"/>
      <c r="F13" s="320"/>
      <c r="H13" s="320"/>
      <c r="I13" s="320"/>
      <c r="J13" s="320"/>
      <c r="K13" s="320"/>
      <c r="L13" s="320"/>
      <c r="M13" s="320"/>
      <c r="N13" s="320"/>
      <c r="O13" s="320"/>
      <c r="P13" s="320"/>
      <c r="Q13" s="299" t="str">
        <f>"(" &amp; -O12 &amp; ")-(" &amp; -M12 &amp; ")"</f>
        <v>(7)-(6)</v>
      </c>
      <c r="R13" s="320"/>
      <c r="S13" s="321" t="str">
        <f>"(" &amp; -Q12 &amp; ")/(" &amp; -M12 &amp; ")"</f>
        <v>(8)/(6)</v>
      </c>
      <c r="T13" s="320"/>
      <c r="U13" s="299" t="str">
        <f>"(" &amp; -O12 &amp; ")/(" &amp; -K12 &amp; ")"</f>
        <v>(7)/(5)</v>
      </c>
      <c r="V13" s="320"/>
      <c r="W13" s="320"/>
      <c r="X13" s="320"/>
      <c r="Y13" s="321" t="str">
        <f>"(" &amp; -W12 &amp; ")/(" &amp; -M12 &amp; ")"</f>
        <v>(11)/(6)</v>
      </c>
      <c r="Z13" s="289"/>
      <c r="AA13" s="321" t="str">
        <f>"(" &amp; -Y12 &amp; ")+(" &amp; -S12 &amp; ")"</f>
        <v>(12)+(9)</v>
      </c>
    </row>
    <row r="14" spans="1:27">
      <c r="C14" s="309" t="s">
        <v>370</v>
      </c>
    </row>
    <row r="15" spans="1:27">
      <c r="A15" s="290">
        <v>1</v>
      </c>
      <c r="C15" s="290" t="s">
        <v>370</v>
      </c>
      <c r="E15" s="322" t="s">
        <v>371</v>
      </c>
      <c r="G15" s="322" t="s">
        <v>371</v>
      </c>
      <c r="I15" s="278">
        <v>719464.73805045325</v>
      </c>
      <c r="K15" s="278">
        <f>(Blocking!E27+Blocking!E48)/1000</f>
        <v>6838816.1893818444</v>
      </c>
      <c r="M15" s="323">
        <f>(Blocking!K27+Blocking!K48+Blocking!K28+Blocking!K49)/1000</f>
        <v>622761.51470559998</v>
      </c>
      <c r="N15" s="324"/>
      <c r="O15" s="323">
        <f>(Blocking!O27+Blocking!O48+Blocking!O28+Blocking!O49)/1000</f>
        <v>668530.826</v>
      </c>
      <c r="P15" s="324"/>
      <c r="Q15" s="323">
        <f>O15-M15</f>
        <v>45769.311294400017</v>
      </c>
      <c r="S15" s="325">
        <f>Q15/M15</f>
        <v>7.3494122892350994E-2</v>
      </c>
      <c r="T15" s="326"/>
      <c r="U15" s="327">
        <f>ROUND(100*O15/K15,2)</f>
        <v>9.7799999999999994</v>
      </c>
      <c r="V15" s="324"/>
      <c r="W15" s="323">
        <f>(Blocking!S27+Blocking!S48+Blocking!S28+Blocking!S49)/1000</f>
        <v>-11642.399440753974</v>
      </c>
      <c r="X15" s="324"/>
      <c r="Y15" s="325">
        <f>W15/(M15*254/365)</f>
        <v>-2.686456897823709E-2</v>
      </c>
      <c r="Z15" s="328"/>
      <c r="AA15" s="325">
        <f>S15+Y15</f>
        <v>4.66295539141139E-2</v>
      </c>
    </row>
    <row r="16" spans="1:27">
      <c r="A16" s="290">
        <f>MAX(A$14:A15)+1</f>
        <v>2</v>
      </c>
      <c r="C16" s="290" t="s">
        <v>372</v>
      </c>
      <c r="E16" s="290">
        <v>2</v>
      </c>
      <c r="G16" s="329">
        <v>2</v>
      </c>
      <c r="I16" s="278">
        <v>367.09528288001042</v>
      </c>
      <c r="K16" s="278">
        <f>Blocking!E71/1000</f>
        <v>2800.1591681552941</v>
      </c>
      <c r="M16" s="323">
        <f>(Blocking!K71+Blocking!K72)/1000</f>
        <v>252.85171320000001</v>
      </c>
      <c r="N16" s="324"/>
      <c r="O16" s="323">
        <f>(Blocking!O71+Blocking!O72)/1000</f>
        <v>269.57900000000001</v>
      </c>
      <c r="P16" s="324"/>
      <c r="Q16" s="323">
        <f>O16-M16</f>
        <v>16.727286800000002</v>
      </c>
      <c r="S16" s="325">
        <f>Q16/M16</f>
        <v>6.6154532189264204E-2</v>
      </c>
      <c r="T16" s="326"/>
      <c r="U16" s="327">
        <f>ROUND(100*O16/K16,2)</f>
        <v>9.6300000000000008</v>
      </c>
      <c r="V16" s="324"/>
      <c r="W16" s="323">
        <f>(Blocking!S71+Blocking!S72)/1000</f>
        <v>-4.6852486487671232</v>
      </c>
      <c r="X16" s="324"/>
      <c r="Y16" s="325">
        <f t="shared" ref="Y16" si="0">W16/(M16*254/365)</f>
        <v>-2.6627223975637274E-2</v>
      </c>
      <c r="Z16" s="328"/>
      <c r="AA16" s="325">
        <f>S16+Y16</f>
        <v>3.9527308213626933E-2</v>
      </c>
    </row>
    <row r="17" spans="1:28">
      <c r="A17" s="290">
        <f>MAX(A$14:A16)+1</f>
        <v>3</v>
      </c>
      <c r="C17" s="330" t="s">
        <v>373</v>
      </c>
      <c r="E17" s="331" t="s">
        <v>374</v>
      </c>
      <c r="F17" s="332"/>
      <c r="G17" s="331" t="s">
        <v>374</v>
      </c>
      <c r="I17" s="333"/>
      <c r="K17" s="333"/>
      <c r="M17" s="334">
        <v>39.38252</v>
      </c>
      <c r="N17" s="324"/>
      <c r="O17" s="334">
        <f>M17</f>
        <v>39.38252</v>
      </c>
      <c r="P17" s="324"/>
      <c r="Q17" s="334">
        <f>O17-M17</f>
        <v>0</v>
      </c>
      <c r="S17" s="335">
        <f>Q17/M17</f>
        <v>0</v>
      </c>
      <c r="U17" s="336"/>
      <c r="V17" s="324"/>
      <c r="W17" s="334"/>
      <c r="X17" s="324"/>
      <c r="Y17" s="335"/>
      <c r="AA17" s="335"/>
    </row>
    <row r="18" spans="1:28">
      <c r="A18" s="290">
        <f>MAX(A$14:A17)+1</f>
        <v>4</v>
      </c>
      <c r="C18" s="309" t="s">
        <v>375</v>
      </c>
      <c r="I18" s="278">
        <f>SUM(I15:I17)</f>
        <v>719831.83333333326</v>
      </c>
      <c r="K18" s="278">
        <f>SUM(K15:K17)</f>
        <v>6841616.3485499993</v>
      </c>
      <c r="M18" s="323">
        <f>SUM(M15:M17)</f>
        <v>623053.74893879995</v>
      </c>
      <c r="N18" s="324"/>
      <c r="O18" s="323">
        <f>SUM(O15:O17)</f>
        <v>668839.78752000001</v>
      </c>
      <c r="P18" s="324"/>
      <c r="Q18" s="323">
        <f>SUM(Q15:Q17)</f>
        <v>45786.038581200017</v>
      </c>
      <c r="S18" s="325">
        <f>Q18/M18</f>
        <v>7.3486498811994774E-2</v>
      </c>
      <c r="U18" s="302">
        <f>ROUND(100*O18/K18,2)</f>
        <v>9.7799999999999994</v>
      </c>
      <c r="V18" s="324"/>
      <c r="W18" s="323">
        <f>SUM(W15:W17)</f>
        <v>-11647.084689402742</v>
      </c>
      <c r="X18" s="324"/>
      <c r="Y18" s="325">
        <f>W18/(M18*254/365)</f>
        <v>-2.6862774578448136E-2</v>
      </c>
      <c r="AA18" s="325">
        <f>S18+Y18</f>
        <v>4.6623724233546639E-2</v>
      </c>
      <c r="AB18" s="323">
        <f>W18-Stipulation!H7</f>
        <v>13.623819551123233</v>
      </c>
    </row>
    <row r="19" spans="1:28" ht="24.95" customHeight="1">
      <c r="C19" s="309" t="s">
        <v>376</v>
      </c>
      <c r="I19" s="278"/>
      <c r="K19" s="278"/>
      <c r="M19" s="337"/>
      <c r="N19" s="324"/>
      <c r="O19" s="323"/>
      <c r="P19" s="324"/>
      <c r="Q19" s="323"/>
      <c r="S19" s="325"/>
      <c r="V19" s="324"/>
      <c r="W19" s="323"/>
      <c r="X19" s="324"/>
      <c r="Y19" s="325"/>
      <c r="AA19" s="325"/>
    </row>
    <row r="20" spans="1:28">
      <c r="A20" s="290">
        <f>MAX(A$14:A19)+1</f>
        <v>5</v>
      </c>
      <c r="C20" s="290" t="s">
        <v>377</v>
      </c>
      <c r="E20" s="338">
        <v>6</v>
      </c>
      <c r="G20" s="338">
        <v>6</v>
      </c>
      <c r="I20" s="278">
        <v>13159.333333333334</v>
      </c>
      <c r="K20" s="278">
        <f>SUM(Blocking!E125,Blocking!E111)/1000</f>
        <v>5902812.5473389141</v>
      </c>
      <c r="M20" s="323">
        <f>(Blocking!K125+Blocking!K126+Blocking!K111+Blocking!K112)/1000</f>
        <v>432435.75233699998</v>
      </c>
      <c r="N20" s="324"/>
      <c r="O20" s="323">
        <f>(Blocking!O125+Blocking!O126+Blocking!O111+Blocking!O112)/1000</f>
        <v>459661.28</v>
      </c>
      <c r="P20" s="324"/>
      <c r="Q20" s="323">
        <f>O20-M20</f>
        <v>27225.527663000044</v>
      </c>
      <c r="S20" s="325">
        <f t="shared" ref="S20:S40" si="1">Q20/M20</f>
        <v>6.2958549370318972E-2</v>
      </c>
      <c r="U20" s="302">
        <f t="shared" ref="U20:U37" si="2">ROUND(100*O20/K20,2)</f>
        <v>7.79</v>
      </c>
      <c r="V20" s="324"/>
      <c r="W20" s="323">
        <f>(Blocking!S125+Blocking!S126+Blocking!S111+Blocking!S112)/1000</f>
        <v>-8749.2158817928757</v>
      </c>
      <c r="X20" s="324"/>
      <c r="Y20" s="325">
        <f t="shared" ref="Y20:Y39" si="3">W20/(M20*254/365)</f>
        <v>-2.907412730250393E-2</v>
      </c>
      <c r="AA20" s="325">
        <f t="shared" ref="AA20:AA22" si="4">S20+Y20</f>
        <v>3.3884422067815043E-2</v>
      </c>
    </row>
    <row r="21" spans="1:28">
      <c r="A21" s="290">
        <f>MAX(A$14:A20)+1</f>
        <v>6</v>
      </c>
      <c r="C21" s="290" t="s">
        <v>378</v>
      </c>
      <c r="E21" s="329" t="s">
        <v>379</v>
      </c>
      <c r="G21" s="329" t="s">
        <v>379</v>
      </c>
      <c r="I21" s="278">
        <v>2106.083333333333</v>
      </c>
      <c r="K21" s="278">
        <f>SUM(Blocking!E209)/1000</f>
        <v>264385.73795986269</v>
      </c>
      <c r="M21" s="323">
        <f>(Blocking!K209+Blocking!K210)/1000</f>
        <v>26709.614827199999</v>
      </c>
      <c r="N21" s="324"/>
      <c r="O21" s="323">
        <f>(Blocking!O209+Blocking!O210)/1000</f>
        <v>28409.098000000002</v>
      </c>
      <c r="P21" s="324"/>
      <c r="Q21" s="323">
        <f>O21-M21</f>
        <v>1699.4831728000026</v>
      </c>
      <c r="S21" s="325">
        <f t="shared" si="1"/>
        <v>6.3628142292389681E-2</v>
      </c>
      <c r="U21" s="302">
        <f t="shared" si="2"/>
        <v>10.75</v>
      </c>
      <c r="V21" s="324"/>
      <c r="W21" s="323">
        <f>(Blocking!S209+Blocking!S210)/1000</f>
        <v>-540.44360058356165</v>
      </c>
      <c r="X21" s="324"/>
      <c r="Y21" s="325">
        <f t="shared" si="3"/>
        <v>-2.9076484798617148E-2</v>
      </c>
      <c r="AA21" s="325">
        <f t="shared" si="4"/>
        <v>3.4551657493772536E-2</v>
      </c>
    </row>
    <row r="22" spans="1:28">
      <c r="A22" s="290">
        <f>MAX(A$14:A21)+1</f>
        <v>7</v>
      </c>
      <c r="C22" s="290" t="s">
        <v>380</v>
      </c>
      <c r="E22" s="329" t="s">
        <v>381</v>
      </c>
      <c r="G22" s="329" t="s">
        <v>381</v>
      </c>
      <c r="I22" s="281">
        <v>30</v>
      </c>
      <c r="K22" s="281">
        <f>SUM(Blocking!E181,Blocking!E195)/1000</f>
        <v>22143.24</v>
      </c>
      <c r="M22" s="334">
        <f>SUM(Blocking!K181,Blocking!K195,Blocking!K182,Blocking!K196)/1000</f>
        <v>1633.2892185999999</v>
      </c>
      <c r="N22" s="324"/>
      <c r="O22" s="334">
        <f>SUM(Blocking!O181,Blocking!O195,Blocking!O182,Blocking!O196)/1000</f>
        <v>1787.6479999999999</v>
      </c>
      <c r="P22" s="324"/>
      <c r="Q22" s="334">
        <f>O22-M22</f>
        <v>154.3587814</v>
      </c>
      <c r="S22" s="335">
        <f t="shared" si="1"/>
        <v>9.4507928933928259E-2</v>
      </c>
      <c r="U22" s="336">
        <f t="shared" si="2"/>
        <v>8.07</v>
      </c>
      <c r="V22" s="324"/>
      <c r="W22" s="334">
        <f>SUM(Blocking!S181,Blocking!S195,Blocking!S182,Blocking!S196)/1000</f>
        <v>-34.235173856438358</v>
      </c>
      <c r="X22" s="324"/>
      <c r="Y22" s="335">
        <f t="shared" si="3"/>
        <v>-3.012094480251901E-2</v>
      </c>
      <c r="AA22" s="335">
        <f t="shared" si="4"/>
        <v>6.4386984131409253E-2</v>
      </c>
    </row>
    <row r="23" spans="1:28">
      <c r="A23" s="290">
        <f>MAX(A$14:A22)+1</f>
        <v>8</v>
      </c>
      <c r="C23" s="339" t="s">
        <v>382</v>
      </c>
      <c r="I23" s="278">
        <f>SUM(I20:I22)</f>
        <v>15295.416666666668</v>
      </c>
      <c r="K23" s="278">
        <f>SUM(K20:K22)</f>
        <v>6189341.525298777</v>
      </c>
      <c r="M23" s="323">
        <f>SUM(M20:M22)</f>
        <v>460778.65638280002</v>
      </c>
      <c r="N23" s="324"/>
      <c r="O23" s="323">
        <f>SUM(O20:O22)</f>
        <v>489858.02600000001</v>
      </c>
      <c r="P23" s="324"/>
      <c r="Q23" s="323">
        <f>SUM(Q20:Q22)</f>
        <v>29079.369617200045</v>
      </c>
      <c r="S23" s="325">
        <f t="shared" si="1"/>
        <v>6.3109194001038635E-2</v>
      </c>
      <c r="U23" s="302">
        <f t="shared" si="2"/>
        <v>7.91</v>
      </c>
      <c r="V23" s="324"/>
      <c r="W23" s="323">
        <f>SUM(W20:W22)</f>
        <v>-9323.8946562328747</v>
      </c>
      <c r="X23" s="324"/>
      <c r="Y23" s="325">
        <f t="shared" si="3"/>
        <v>-2.9077974537017069E-2</v>
      </c>
      <c r="AA23" s="325">
        <f>S23+Y23</f>
        <v>3.4031219464021566E-2</v>
      </c>
      <c r="AB23" s="323">
        <f>W23-Stipulation!H8</f>
        <v>-4.3605474056912499</v>
      </c>
    </row>
    <row r="24" spans="1:28" ht="21.95" customHeight="1">
      <c r="A24" s="290">
        <f>MAX(A$14:A23)+1</f>
        <v>9</v>
      </c>
      <c r="C24" s="330" t="s">
        <v>383</v>
      </c>
      <c r="E24" s="329">
        <v>8</v>
      </c>
      <c r="G24" s="290">
        <v>8</v>
      </c>
      <c r="H24" s="278"/>
      <c r="I24" s="278">
        <v>294.83333333333331</v>
      </c>
      <c r="K24" s="278">
        <f>Blocking!E293/1000</f>
        <v>2167936.0786941051</v>
      </c>
      <c r="M24" s="323">
        <f>(Blocking!K293+Blocking!K294)/1000</f>
        <v>138876.68594639999</v>
      </c>
      <c r="N24" s="324"/>
      <c r="O24" s="323">
        <f>(Blocking!O293+Blocking!O294)/1000</f>
        <v>149016.296</v>
      </c>
      <c r="P24" s="324"/>
      <c r="Q24" s="323">
        <f>O24-M24</f>
        <v>10139.610053600016</v>
      </c>
      <c r="S24" s="325">
        <f t="shared" si="1"/>
        <v>7.3011607272320991E-2</v>
      </c>
      <c r="U24" s="302">
        <f t="shared" si="2"/>
        <v>6.87</v>
      </c>
      <c r="V24" s="324"/>
      <c r="W24" s="323">
        <f>(Blocking!S293+Blocking!S294)/1000</f>
        <v>-2992.1784948778077</v>
      </c>
      <c r="X24" s="324"/>
      <c r="Y24" s="325">
        <f t="shared" si="3"/>
        <v>-3.0961165499438243E-2</v>
      </c>
      <c r="AA24" s="325">
        <f t="shared" ref="AA24:AA37" si="5">S24+Y24</f>
        <v>4.2050441772882752E-2</v>
      </c>
      <c r="AB24" s="323">
        <f>W24-Stipulation!H9</f>
        <v>-2.9154944671695375</v>
      </c>
    </row>
    <row r="25" spans="1:28" ht="21.95" customHeight="1">
      <c r="A25" s="290">
        <f>MAX(A$14:A24)+1</f>
        <v>10</v>
      </c>
      <c r="C25" s="290" t="s">
        <v>384</v>
      </c>
      <c r="E25" s="290">
        <v>9</v>
      </c>
      <c r="G25" s="290">
        <v>9</v>
      </c>
      <c r="I25" s="278">
        <v>151</v>
      </c>
      <c r="K25" s="278">
        <f>(Blocking!E334)/1000</f>
        <v>4593918.7557724277</v>
      </c>
      <c r="M25" s="323">
        <f>(Blocking!K334+Blocking!K335)/1000</f>
        <v>211969.42287761293</v>
      </c>
      <c r="N25" s="324"/>
      <c r="O25" s="323">
        <f>(Blocking!O334+Blocking!O335)/1000</f>
        <v>230122.508</v>
      </c>
      <c r="P25" s="324"/>
      <c r="Q25" s="323">
        <f>O25-M25</f>
        <v>18153.08512238707</v>
      </c>
      <c r="S25" s="325">
        <f t="shared" si="1"/>
        <v>8.5640112031008894E-2</v>
      </c>
      <c r="U25" s="302">
        <f t="shared" si="2"/>
        <v>5.01</v>
      </c>
      <c r="V25" s="324"/>
      <c r="W25" s="323">
        <f>(Blocking!S334+Blocking!S335)/1000</f>
        <v>-5536.580237216438</v>
      </c>
      <c r="X25" s="324"/>
      <c r="Y25" s="325">
        <f t="shared" si="3"/>
        <v>-3.7534231532034244E-2</v>
      </c>
      <c r="AA25" s="325">
        <f t="shared" si="5"/>
        <v>4.810588049897465E-2</v>
      </c>
      <c r="AB25" s="323"/>
    </row>
    <row r="26" spans="1:28">
      <c r="A26" s="290">
        <f>MAX(A$14:A25)+1</f>
        <v>11</v>
      </c>
      <c r="C26" s="290" t="s">
        <v>385</v>
      </c>
      <c r="E26" s="329" t="s">
        <v>386</v>
      </c>
      <c r="G26" s="329" t="s">
        <v>386</v>
      </c>
      <c r="I26" s="281">
        <v>9</v>
      </c>
      <c r="K26" s="281">
        <f>SUM(Blocking!E384,Blocking!E394)/1000</f>
        <v>53116.208411492647</v>
      </c>
      <c r="M26" s="334">
        <f>SUM(Blocking!K384,Blocking!K394,Blocking!K385,Blocking!K395)/1000</f>
        <v>3266.6945169999999</v>
      </c>
      <c r="N26" s="324"/>
      <c r="O26" s="334">
        <f>SUM(Blocking!O384,Blocking!O394,Blocking!O385,Blocking!O395)/1000</f>
        <v>3538.8710000000001</v>
      </c>
      <c r="P26" s="324"/>
      <c r="Q26" s="334">
        <f>O26-M26</f>
        <v>272.17648300000019</v>
      </c>
      <c r="S26" s="335">
        <f t="shared" si="1"/>
        <v>8.3318621188355271E-2</v>
      </c>
      <c r="U26" s="336">
        <f t="shared" si="2"/>
        <v>6.66</v>
      </c>
      <c r="V26" s="324"/>
      <c r="W26" s="334">
        <f>SUM(Blocking!S384,Blocking!S394,Blocking!S385,Blocking!S395)/1000</f>
        <v>-122.00811169534246</v>
      </c>
      <c r="X26" s="324"/>
      <c r="Y26" s="335">
        <f>W26/(M26*254/365)</f>
        <v>-5.367095585081303E-2</v>
      </c>
      <c r="AA26" s="335">
        <f t="shared" si="5"/>
        <v>2.9647665337542241E-2</v>
      </c>
      <c r="AB26" s="323"/>
    </row>
    <row r="27" spans="1:28">
      <c r="A27" s="290">
        <f>MAX(A$14:A26)+1</f>
        <v>12</v>
      </c>
      <c r="C27" s="339" t="s">
        <v>387</v>
      </c>
      <c r="I27" s="278">
        <f>SUM(I25:I26)</f>
        <v>160</v>
      </c>
      <c r="K27" s="278">
        <f>SUM(K25:K26)</f>
        <v>4647034.9641839201</v>
      </c>
      <c r="M27" s="323">
        <f>SUM(M25:M26)</f>
        <v>215236.11739461293</v>
      </c>
      <c r="N27" s="324"/>
      <c r="O27" s="323">
        <f>SUM(O25:O26)</f>
        <v>233661.37900000002</v>
      </c>
      <c r="P27" s="324"/>
      <c r="Q27" s="323">
        <f>SUM(Q25:Q26)</f>
        <v>18425.26160538707</v>
      </c>
      <c r="S27" s="325">
        <f t="shared" si="1"/>
        <v>8.5604878160881692E-2</v>
      </c>
      <c r="U27" s="302">
        <f t="shared" si="2"/>
        <v>5.03</v>
      </c>
      <c r="V27" s="324"/>
      <c r="W27" s="323">
        <f>SUM(W25:W26)</f>
        <v>-5658.5883489117805</v>
      </c>
      <c r="X27" s="324"/>
      <c r="Y27" s="325">
        <f t="shared" si="3"/>
        <v>-3.7779142792711974E-2</v>
      </c>
      <c r="AA27" s="325">
        <f t="shared" si="5"/>
        <v>4.7825735368169718E-2</v>
      </c>
      <c r="AB27" s="323">
        <f>W27-Stipulation!H11</f>
        <v>-50.703512726506233</v>
      </c>
    </row>
    <row r="28" spans="1:28" ht="21.95" customHeight="1">
      <c r="A28" s="290">
        <f>MAX(A$14:A27)+1</f>
        <v>13</v>
      </c>
      <c r="C28" s="290" t="s">
        <v>388</v>
      </c>
      <c r="E28" s="329">
        <v>10</v>
      </c>
      <c r="G28" s="329">
        <v>10</v>
      </c>
      <c r="I28" s="278">
        <f>Blocking!E399+Blocking!E400</f>
        <v>2611</v>
      </c>
      <c r="K28" s="278">
        <f>Blocking!E412/1000</f>
        <v>171987.00599999999</v>
      </c>
      <c r="M28" s="323">
        <f>(Blocking!K412+Blocking!K413)/1000</f>
        <v>11112.272944800001</v>
      </c>
      <c r="N28" s="324"/>
      <c r="O28" s="323">
        <f>(Blocking!O412+Blocking!O413)/1000</f>
        <v>11911.017</v>
      </c>
      <c r="P28" s="324"/>
      <c r="Q28" s="323">
        <f>O28-M28</f>
        <v>798.74405519999891</v>
      </c>
      <c r="S28" s="325">
        <f t="shared" si="1"/>
        <v>7.1879448891126449E-2</v>
      </c>
      <c r="U28" s="302">
        <f t="shared" si="2"/>
        <v>6.93</v>
      </c>
      <c r="V28" s="324"/>
      <c r="W28" s="323">
        <f>(Blocking!S412+Blocking!S413)/1000</f>
        <v>-218.13293209315069</v>
      </c>
      <c r="X28" s="324"/>
      <c r="Y28" s="325">
        <f t="shared" si="3"/>
        <v>-2.8208337084330109E-2</v>
      </c>
      <c r="AA28" s="325">
        <f t="shared" si="5"/>
        <v>4.3671111806796337E-2</v>
      </c>
      <c r="AB28" s="323"/>
    </row>
    <row r="29" spans="1:28">
      <c r="A29" s="290">
        <f>MAX(A$14:A28)+1</f>
        <v>14</v>
      </c>
      <c r="C29" s="290" t="s">
        <v>389</v>
      </c>
      <c r="E29" s="329" t="s">
        <v>390</v>
      </c>
      <c r="G29" s="329" t="s">
        <v>390</v>
      </c>
      <c r="I29" s="281">
        <f>Blocking!E417+Blocking!E418</f>
        <v>254.41666666666652</v>
      </c>
      <c r="K29" s="281">
        <f>Blocking!E430/1000</f>
        <v>15472.994049175382</v>
      </c>
      <c r="M29" s="334">
        <f>(Blocking!K430+Blocking!K431)/1000</f>
        <v>1045.6100924</v>
      </c>
      <c r="N29" s="324"/>
      <c r="O29" s="334">
        <f>(Blocking!O430+Blocking!O431)/1000</f>
        <v>1112.6579999999999</v>
      </c>
      <c r="P29" s="324"/>
      <c r="Q29" s="334">
        <f>O29-M29</f>
        <v>67.047907599999917</v>
      </c>
      <c r="S29" s="335">
        <f t="shared" si="1"/>
        <v>6.4123240668138681E-2</v>
      </c>
      <c r="U29" s="336">
        <f t="shared" si="2"/>
        <v>7.19</v>
      </c>
      <c r="V29" s="324"/>
      <c r="W29" s="334">
        <f>(Blocking!S430+Blocking!S431)/1000</f>
        <v>-20.369951013698632</v>
      </c>
      <c r="X29" s="324"/>
      <c r="Y29" s="335">
        <f t="shared" si="3"/>
        <v>-2.7994928714595867E-2</v>
      </c>
      <c r="AA29" s="335">
        <f t="shared" si="5"/>
        <v>3.612831195354281E-2</v>
      </c>
      <c r="AB29" s="323"/>
    </row>
    <row r="30" spans="1:28">
      <c r="A30" s="290">
        <f>MAX(A$14:A29)+1</f>
        <v>15</v>
      </c>
      <c r="C30" s="339" t="s">
        <v>391</v>
      </c>
      <c r="I30" s="278">
        <f>SUM(I28:I29)</f>
        <v>2865.4166666666665</v>
      </c>
      <c r="K30" s="278">
        <f>SUM(K28:K29)</f>
        <v>187460.00004917537</v>
      </c>
      <c r="M30" s="323">
        <f>SUM(M28:M29)</f>
        <v>12157.883037200001</v>
      </c>
      <c r="N30" s="324"/>
      <c r="O30" s="323">
        <f>SUM(O28:O29)</f>
        <v>13023.674999999999</v>
      </c>
      <c r="P30" s="324"/>
      <c r="Q30" s="323">
        <f>SUM(Q28:Q29)</f>
        <v>865.79196279999883</v>
      </c>
      <c r="S30" s="325">
        <f t="shared" si="1"/>
        <v>7.1212394472861568E-2</v>
      </c>
      <c r="U30" s="302">
        <f t="shared" si="2"/>
        <v>6.95</v>
      </c>
      <c r="V30" s="324"/>
      <c r="W30" s="323">
        <f>SUM(W28:W29)</f>
        <v>-238.50288310684931</v>
      </c>
      <c r="X30" s="324"/>
      <c r="Y30" s="325">
        <f t="shared" si="3"/>
        <v>-2.8189983400180165E-2</v>
      </c>
      <c r="AA30" s="325">
        <f t="shared" si="5"/>
        <v>4.3022411072681399E-2</v>
      </c>
      <c r="AB30" s="323">
        <f>W30-Stipulation!H12</f>
        <v>-0.21680281177148686</v>
      </c>
    </row>
    <row r="31" spans="1:28" ht="21.95" customHeight="1">
      <c r="A31" s="290">
        <f>MAX(A$14:A30)+1</f>
        <v>16</v>
      </c>
      <c r="C31" s="290" t="s">
        <v>392</v>
      </c>
      <c r="E31" s="290">
        <v>21</v>
      </c>
      <c r="G31" s="290">
        <v>21</v>
      </c>
      <c r="I31" s="278">
        <v>5</v>
      </c>
      <c r="K31" s="278">
        <f>Blocking!E615/1000</f>
        <v>2784.0039999999999</v>
      </c>
      <c r="M31" s="323">
        <f>(Blocking!K615+Blocking!K616)/1000</f>
        <v>281.23465000000004</v>
      </c>
      <c r="N31" s="324"/>
      <c r="O31" s="323">
        <f>(Blocking!O615+Blocking!O616)/1000</f>
        <v>305.05900000000003</v>
      </c>
      <c r="P31" s="324"/>
      <c r="Q31" s="323">
        <f t="shared" ref="Q31:Q38" si="6">O31-M31</f>
        <v>23.824349999999981</v>
      </c>
      <c r="S31" s="325">
        <f t="shared" si="1"/>
        <v>8.4713423470400881E-2</v>
      </c>
      <c r="U31" s="302">
        <f t="shared" si="2"/>
        <v>10.96</v>
      </c>
      <c r="V31" s="324"/>
      <c r="W31" s="323">
        <f>(Blocking!S615+Blocking!S616)/1000</f>
        <v>-5.7395203945205475</v>
      </c>
      <c r="X31" s="324"/>
      <c r="Y31" s="325">
        <f t="shared" si="3"/>
        <v>-2.9326884151721695E-2</v>
      </c>
      <c r="AA31" s="325">
        <f t="shared" si="5"/>
        <v>5.5386539318679186E-2</v>
      </c>
      <c r="AB31" s="323">
        <f>W31-Stipulation!H15</f>
        <v>3.414939348602708E-3</v>
      </c>
    </row>
    <row r="32" spans="1:28">
      <c r="A32" s="290">
        <f>MAX(A$14:A31)+1</f>
        <v>17</v>
      </c>
      <c r="C32" s="290" t="s">
        <v>393</v>
      </c>
      <c r="E32" s="338">
        <v>23</v>
      </c>
      <c r="G32" s="338">
        <v>23</v>
      </c>
      <c r="I32" s="278">
        <v>79903.666666666672</v>
      </c>
      <c r="K32" s="278">
        <f>SUM(Blocking!E630,Blocking!E97)/1000</f>
        <v>1413763.5142437532</v>
      </c>
      <c r="M32" s="323">
        <f>(Blocking!K630+Blocking!K631+Blocking!K97+Blocking!K98)/1000</f>
        <v>121797.0054729</v>
      </c>
      <c r="N32" s="324"/>
      <c r="O32" s="323">
        <f>(Blocking!O630+Blocking!O631+Blocking!O97+Blocking!O98)/1000</f>
        <v>129485.611</v>
      </c>
      <c r="P32" s="324"/>
      <c r="Q32" s="323">
        <f t="shared" si="6"/>
        <v>7688.6055271000077</v>
      </c>
      <c r="S32" s="325">
        <f t="shared" si="1"/>
        <v>6.3126392124728661E-2</v>
      </c>
      <c r="U32" s="302">
        <f t="shared" si="2"/>
        <v>9.16</v>
      </c>
      <c r="V32" s="324"/>
      <c r="W32" s="323">
        <f>(Blocking!S630+Blocking!S631+Blocking!S97+Blocking!S98)/1000</f>
        <v>-2220.3753758728767</v>
      </c>
      <c r="X32" s="324"/>
      <c r="Y32" s="325">
        <f t="shared" si="3"/>
        <v>-2.619684191751278E-2</v>
      </c>
      <c r="AA32" s="325">
        <f t="shared" si="5"/>
        <v>3.6929550207215882E-2</v>
      </c>
      <c r="AB32" s="323">
        <f>W32-Stipulation!H16</f>
        <v>-18.241315134760498</v>
      </c>
    </row>
    <row r="33" spans="1:28">
      <c r="A33" s="290">
        <f>MAX(A$14:A32)+1</f>
        <v>18</v>
      </c>
      <c r="C33" s="290" t="s">
        <v>394</v>
      </c>
      <c r="E33" s="290">
        <v>31</v>
      </c>
      <c r="G33" s="290">
        <v>31</v>
      </c>
      <c r="I33" s="278">
        <v>3</v>
      </c>
      <c r="K33" s="278">
        <f>(Blocking!E728+Blocking!E781)/1000</f>
        <v>10601.999</v>
      </c>
      <c r="M33" s="323">
        <f>(Blocking!K728+Blocking!K781+Blocking!K729+Blocking!K782)/1000</f>
        <v>793.09077920000004</v>
      </c>
      <c r="N33" s="324"/>
      <c r="O33" s="323">
        <f>(Blocking!O728+Blocking!O781+Blocking!O729+Blocking!O782)/1000</f>
        <v>851.05600000000004</v>
      </c>
      <c r="P33" s="324"/>
      <c r="Q33" s="323">
        <f t="shared" si="6"/>
        <v>57.965220799999997</v>
      </c>
      <c r="S33" s="325">
        <f t="shared" si="1"/>
        <v>7.3087750255361933E-2</v>
      </c>
      <c r="U33" s="302">
        <f t="shared" si="2"/>
        <v>8.0299999999999994</v>
      </c>
      <c r="V33" s="324"/>
      <c r="W33" s="323">
        <f>(Blocking!S728+Blocking!S781+Blocking!S729+Blocking!S782)/1000</f>
        <v>-11.210631055890412</v>
      </c>
      <c r="X33" s="324"/>
      <c r="Y33" s="325">
        <f t="shared" si="3"/>
        <v>-2.0312636992514413E-2</v>
      </c>
      <c r="AA33" s="325">
        <f t="shared" si="5"/>
        <v>5.277511326284752E-2</v>
      </c>
      <c r="AB33" s="323">
        <f>W33-Stipulation!H17</f>
        <v>4.9846317214149334</v>
      </c>
    </row>
    <row r="34" spans="1:28">
      <c r="A34" s="290">
        <f>MAX(A$14:A33)+1</f>
        <v>19</v>
      </c>
      <c r="C34" s="330" t="s">
        <v>395</v>
      </c>
      <c r="E34" s="329" t="s">
        <v>374</v>
      </c>
      <c r="G34" s="329" t="s">
        <v>374</v>
      </c>
      <c r="I34" s="278">
        <v>1</v>
      </c>
      <c r="K34" s="278">
        <f>Blocking!E791/1000</f>
        <v>566031.79094462132</v>
      </c>
      <c r="M34" s="323">
        <f>(Blocking!K791)/1000</f>
        <v>22942.658742756612</v>
      </c>
      <c r="N34" s="324"/>
      <c r="O34" s="323">
        <f>Blocking!O791/1000</f>
        <v>22942.658742756612</v>
      </c>
      <c r="P34" s="324"/>
      <c r="Q34" s="323">
        <f t="shared" si="6"/>
        <v>0</v>
      </c>
      <c r="S34" s="325">
        <f t="shared" si="1"/>
        <v>0</v>
      </c>
      <c r="U34" s="302">
        <f t="shared" si="2"/>
        <v>4.05</v>
      </c>
      <c r="V34" s="324"/>
      <c r="W34" s="323">
        <f>Blocking!S791/1000</f>
        <v>0</v>
      </c>
      <c r="X34" s="324"/>
      <c r="Y34" s="325">
        <f t="shared" si="3"/>
        <v>0</v>
      </c>
      <c r="AA34" s="325">
        <f t="shared" si="5"/>
        <v>0</v>
      </c>
      <c r="AB34" s="323"/>
    </row>
    <row r="35" spans="1:28">
      <c r="A35" s="290">
        <f>MAX(A$14:A34)+1</f>
        <v>20</v>
      </c>
      <c r="C35" s="330" t="s">
        <v>396</v>
      </c>
      <c r="E35" s="329" t="s">
        <v>374</v>
      </c>
      <c r="G35" s="329" t="s">
        <v>374</v>
      </c>
      <c r="I35" s="278">
        <v>1</v>
      </c>
      <c r="K35" s="278">
        <f>Blocking!E796/1000</f>
        <v>906890.76634466706</v>
      </c>
      <c r="M35" s="323">
        <f>Blocking!K796/1000</f>
        <v>30307.371080770277</v>
      </c>
      <c r="N35" s="324"/>
      <c r="O35" s="323">
        <f>Blocking!O796/1000</f>
        <v>30307.371080770277</v>
      </c>
      <c r="P35" s="324"/>
      <c r="Q35" s="323">
        <f t="shared" si="6"/>
        <v>0</v>
      </c>
      <c r="S35" s="325">
        <f t="shared" si="1"/>
        <v>0</v>
      </c>
      <c r="U35" s="302">
        <f t="shared" si="2"/>
        <v>3.34</v>
      </c>
      <c r="V35" s="324"/>
      <c r="W35" s="323">
        <f>Blocking!S796/1000</f>
        <v>0</v>
      </c>
      <c r="X35" s="324"/>
      <c r="Y35" s="325">
        <f t="shared" si="3"/>
        <v>0</v>
      </c>
      <c r="AA35" s="325">
        <f t="shared" si="5"/>
        <v>0</v>
      </c>
      <c r="AB35" s="323"/>
    </row>
    <row r="36" spans="1:28">
      <c r="A36" s="290">
        <f>MAX(A$14:A35)+1</f>
        <v>21</v>
      </c>
      <c r="C36" s="330" t="s">
        <v>397</v>
      </c>
      <c r="E36" s="329" t="s">
        <v>374</v>
      </c>
      <c r="G36" s="329" t="s">
        <v>374</v>
      </c>
      <c r="I36" s="278">
        <v>1</v>
      </c>
      <c r="K36" s="278">
        <f>Blocking!E812/1000</f>
        <v>1153188.5036041529</v>
      </c>
      <c r="M36" s="323">
        <f>(Blocking!K812+Blocking!K813)/1000</f>
        <v>46501.317907476543</v>
      </c>
      <c r="N36" s="324"/>
      <c r="O36" s="323">
        <f>Blocking!O812/1000</f>
        <v>50509.682000000001</v>
      </c>
      <c r="P36" s="324"/>
      <c r="Q36" s="323">
        <f t="shared" si="6"/>
        <v>4008.3640925234577</v>
      </c>
      <c r="S36" s="325">
        <f t="shared" si="1"/>
        <v>8.6198935275315872E-2</v>
      </c>
      <c r="U36" s="302">
        <f t="shared" si="2"/>
        <v>4.38</v>
      </c>
      <c r="V36" s="324"/>
      <c r="W36" s="323">
        <f>Blocking!S812/1000</f>
        <v>-1153.3914700608218</v>
      </c>
      <c r="X36" s="324"/>
      <c r="Y36" s="325">
        <f t="shared" si="3"/>
        <v>-3.5642702161641657E-2</v>
      </c>
      <c r="AA36" s="325">
        <f t="shared" si="5"/>
        <v>5.0556233113674215E-2</v>
      </c>
      <c r="AB36" s="323">
        <f>W36-Stipulation!H22</f>
        <v>43.608529939178197</v>
      </c>
    </row>
    <row r="37" spans="1:28">
      <c r="A37" s="290">
        <f>MAX(A$14:A36)+1</f>
        <v>22</v>
      </c>
      <c r="C37" s="330" t="s">
        <v>398</v>
      </c>
      <c r="E37" s="329" t="s">
        <v>374</v>
      </c>
      <c r="G37" s="329" t="s">
        <v>374</v>
      </c>
      <c r="I37" s="278">
        <v>1</v>
      </c>
      <c r="K37" s="278">
        <f>Blocking!E823/1000</f>
        <v>246723.4468927572</v>
      </c>
      <c r="M37" s="323">
        <f>(Blocking!K823+Blocking!K824)/1000</f>
        <v>10414.849807369434</v>
      </c>
      <c r="N37" s="324"/>
      <c r="O37" s="323">
        <f>Blocking!O823/1000</f>
        <v>11303.040999999999</v>
      </c>
      <c r="P37" s="324"/>
      <c r="Q37" s="323">
        <f t="shared" si="6"/>
        <v>888.19119263056564</v>
      </c>
      <c r="S37" s="325">
        <f t="shared" si="1"/>
        <v>8.5281229115958188E-2</v>
      </c>
      <c r="U37" s="302">
        <f t="shared" si="2"/>
        <v>4.58</v>
      </c>
      <c r="V37" s="324"/>
      <c r="W37" s="323">
        <f>Blocking!S823/1000</f>
        <v>-274.09945590575342</v>
      </c>
      <c r="X37" s="324"/>
      <c r="Y37" s="325">
        <f t="shared" si="3"/>
        <v>-3.7819371732206133E-2</v>
      </c>
      <c r="AA37" s="325">
        <f t="shared" si="5"/>
        <v>4.7461857383752054E-2</v>
      </c>
      <c r="AB37" s="323">
        <f>W37-Stipulation!H23</f>
        <v>8.1127563544644659</v>
      </c>
    </row>
    <row r="38" spans="1:28">
      <c r="A38" s="290">
        <f>MAX(A$14:A37)+1</f>
        <v>23</v>
      </c>
      <c r="C38" s="330" t="s">
        <v>373</v>
      </c>
      <c r="E38" s="331" t="s">
        <v>374</v>
      </c>
      <c r="F38" s="332"/>
      <c r="G38" s="331" t="s">
        <v>374</v>
      </c>
      <c r="I38" s="333"/>
      <c r="K38" s="333" t="s">
        <v>374</v>
      </c>
      <c r="M38" s="334">
        <v>3533.55807</v>
      </c>
      <c r="N38" s="324"/>
      <c r="O38" s="334">
        <f>M38</f>
        <v>3533.55807</v>
      </c>
      <c r="P38" s="324"/>
      <c r="Q38" s="334">
        <f t="shared" si="6"/>
        <v>0</v>
      </c>
      <c r="S38" s="335">
        <f t="shared" si="1"/>
        <v>0</v>
      </c>
      <c r="U38" s="336"/>
      <c r="V38" s="324"/>
      <c r="W38" s="334"/>
      <c r="X38" s="324"/>
      <c r="Y38" s="335"/>
      <c r="AA38" s="335"/>
      <c r="AB38" s="323"/>
    </row>
    <row r="39" spans="1:28">
      <c r="A39" s="290">
        <f>MAX(A$14:A38)+1</f>
        <v>24</v>
      </c>
      <c r="C39" s="309" t="s">
        <v>399</v>
      </c>
      <c r="I39" s="278">
        <f>SUM(I20:I22,I24:I26,I28:I29,I31:I38)</f>
        <v>98531.333333333343</v>
      </c>
      <c r="K39" s="278">
        <f>SUM(K20:K22,K24:K26,K28:K29,K31:K38)</f>
        <v>17491756.593255926</v>
      </c>
      <c r="M39" s="323">
        <f>SUM(M20:M22,M24:M26,M28:M29,M31:M38)</f>
        <v>1063620.4292714857</v>
      </c>
      <c r="N39" s="324"/>
      <c r="O39" s="323">
        <f>SUM(O20:O22,O24:O26,O28:O29,O31:O38)</f>
        <v>1134797.4128935272</v>
      </c>
      <c r="P39" s="324"/>
      <c r="Q39" s="323">
        <f>SUM(Q20:Q22,Q24:Q26,Q28:Q29,Q31:Q38)</f>
        <v>71176.983622041153</v>
      </c>
      <c r="S39" s="325">
        <f t="shared" si="1"/>
        <v>6.6919534133800904E-2</v>
      </c>
      <c r="U39" s="302">
        <f>ROUND(100*O39/K39,2)</f>
        <v>6.49</v>
      </c>
      <c r="V39" s="324"/>
      <c r="W39" s="323">
        <f>SUM(W20:W22,W24:W26,W28:W29,W31:W38)</f>
        <v>-21877.980836419178</v>
      </c>
      <c r="X39" s="324"/>
      <c r="Y39" s="325">
        <f t="shared" si="3"/>
        <v>-2.9558317858781311E-2</v>
      </c>
      <c r="AA39" s="325">
        <f>S39+Y39</f>
        <v>3.7361216275019593E-2</v>
      </c>
      <c r="AB39" s="323"/>
    </row>
    <row r="40" spans="1:28" ht="35.1" customHeight="1">
      <c r="A40" s="290">
        <f>MAX(A$14:A39)+1</f>
        <v>25</v>
      </c>
      <c r="C40" s="340" t="s">
        <v>400</v>
      </c>
      <c r="I40" s="278">
        <f>I39-SUM(I34:I35,I38)</f>
        <v>98529.333333333343</v>
      </c>
      <c r="K40" s="278">
        <f>K39-SUM(K34:K35,K38)</f>
        <v>16018834.035966638</v>
      </c>
      <c r="M40" s="323">
        <f>M39-SUM(M34:M35,M38)</f>
        <v>1006836.8413779588</v>
      </c>
      <c r="N40" s="324"/>
      <c r="O40" s="323">
        <f>O39-SUM(O34:O35,O38)</f>
        <v>1078013.8250000002</v>
      </c>
      <c r="P40" s="324"/>
      <c r="Q40" s="323">
        <f>Q39-SUM(Q34:Q35,Q38)</f>
        <v>71176.983622041153</v>
      </c>
      <c r="S40" s="325">
        <f t="shared" si="1"/>
        <v>7.0693662266696752E-2</v>
      </c>
      <c r="U40" s="302">
        <f>ROUND(100*O40/K40,2)</f>
        <v>6.73</v>
      </c>
      <c r="V40" s="324"/>
      <c r="W40" s="323">
        <f>W39-SUM(W34:W35,W38)</f>
        <v>-21877.980836419178</v>
      </c>
      <c r="X40" s="324"/>
      <c r="Y40" s="325">
        <f>W40/(M40*254/365)</f>
        <v>-3.1225347978400111E-2</v>
      </c>
      <c r="AA40" s="325">
        <f>S40+Y40</f>
        <v>3.9468314288296641E-2</v>
      </c>
      <c r="AB40" s="323"/>
    </row>
    <row r="41" spans="1:28" ht="24.95" customHeight="1">
      <c r="C41" s="309" t="s">
        <v>401</v>
      </c>
      <c r="I41" s="278"/>
      <c r="K41" s="278"/>
      <c r="M41" s="323"/>
      <c r="N41" s="324"/>
      <c r="O41" s="323"/>
      <c r="P41" s="324"/>
      <c r="Q41" s="323"/>
      <c r="S41" s="325"/>
      <c r="V41" s="324"/>
      <c r="W41" s="323"/>
      <c r="X41" s="324"/>
      <c r="Y41" s="325"/>
      <c r="AA41" s="325"/>
      <c r="AB41" s="323"/>
    </row>
    <row r="42" spans="1:28">
      <c r="A42" s="290">
        <f>MAX(A$14:A41)+1</f>
        <v>26</v>
      </c>
      <c r="C42" s="290" t="s">
        <v>402</v>
      </c>
      <c r="E42" s="290">
        <v>7</v>
      </c>
      <c r="G42" s="290">
        <v>7</v>
      </c>
      <c r="I42" s="278">
        <v>7995.3333333333303</v>
      </c>
      <c r="K42" s="278">
        <f>Blocking!E279/1000</f>
        <v>14094.877493246233</v>
      </c>
      <c r="M42" s="323">
        <f>(Blocking!K279+Blocking!K280)/1000</f>
        <v>3392.8355858999998</v>
      </c>
      <c r="N42" s="324"/>
      <c r="O42" s="323">
        <f>(Blocking!O279+Blocking!O280)/1000</f>
        <v>3392.529</v>
      </c>
      <c r="P42" s="324"/>
      <c r="Q42" s="323">
        <f>O42-M42</f>
        <v>-0.30658589999984542</v>
      </c>
      <c r="S42" s="325">
        <f t="shared" ref="S42:S53" si="7">Q42/M42</f>
        <v>-9.0362734131285344E-5</v>
      </c>
      <c r="U42" s="302">
        <f t="shared" ref="U42:U49" si="8">ROUND(100*O42/K42,2)</f>
        <v>24.07</v>
      </c>
      <c r="V42" s="324"/>
      <c r="W42" s="323">
        <f>(Blocking!S279+Blocking!S280)/1000</f>
        <v>-15.109301759999999</v>
      </c>
      <c r="X42" s="324"/>
      <c r="Y42" s="325">
        <f t="shared" ref="Y42:Y53" si="9">W42/(M42*254/365)</f>
        <v>-6.3994216785015594E-3</v>
      </c>
      <c r="AA42" s="325">
        <f t="shared" ref="AA42:AA49" si="10">S42+Y42</f>
        <v>-6.4897844126328447E-3</v>
      </c>
      <c r="AB42" s="323"/>
    </row>
    <row r="43" spans="1:28">
      <c r="A43" s="290">
        <f>MAX(A$14:A42)+1</f>
        <v>27</v>
      </c>
      <c r="C43" s="290" t="s">
        <v>403</v>
      </c>
      <c r="E43" s="341">
        <v>11</v>
      </c>
      <c r="G43" s="290">
        <v>11</v>
      </c>
      <c r="I43" s="278">
        <f>Blocking!E482</f>
        <v>872.33333333333337</v>
      </c>
      <c r="K43" s="278">
        <f>Blocking!E484/1000</f>
        <v>22285.519</v>
      </c>
      <c r="M43" s="323">
        <f>(Blocking!K484+Blocking!K485)/1000</f>
        <v>6595.6071942999997</v>
      </c>
      <c r="N43" s="324"/>
      <c r="O43" s="323">
        <f>(Blocking!O484+Blocking!O485)/1000</f>
        <v>6594.3869999999997</v>
      </c>
      <c r="P43" s="324"/>
      <c r="Q43" s="323">
        <f>O43-M43</f>
        <v>-1.2201943000000028</v>
      </c>
      <c r="S43" s="325">
        <f t="shared" si="7"/>
        <v>-1.8500105662061091E-4</v>
      </c>
      <c r="U43" s="302">
        <f t="shared" si="8"/>
        <v>29.59</v>
      </c>
      <c r="V43" s="324"/>
      <c r="W43" s="323">
        <f>(Blocking!S484+Blocking!S485)/1000</f>
        <v>-29.369412348493146</v>
      </c>
      <c r="X43" s="324"/>
      <c r="Y43" s="325">
        <f t="shared" si="9"/>
        <v>-6.3988159932376271E-3</v>
      </c>
      <c r="AA43" s="325">
        <f t="shared" si="10"/>
        <v>-6.5838170498582378E-3</v>
      </c>
      <c r="AB43" s="323"/>
    </row>
    <row r="44" spans="1:28">
      <c r="A44" s="290">
        <f>MAX(A$14:A43)+1</f>
        <v>28</v>
      </c>
      <c r="C44" s="290" t="s">
        <v>404</v>
      </c>
      <c r="E44" s="341">
        <v>12</v>
      </c>
      <c r="G44" s="290">
        <v>12</v>
      </c>
      <c r="I44" s="278">
        <f>Blocking!E575</f>
        <v>838.16666666666663</v>
      </c>
      <c r="K44" s="342">
        <f>Blocking!E577/1000</f>
        <v>49417.5</v>
      </c>
      <c r="M44" s="323">
        <f>(Blocking!K577+Blocking!K578)/1000</f>
        <v>3813.2070128999999</v>
      </c>
      <c r="N44" s="324"/>
      <c r="O44" s="323">
        <f>(Blocking!O577+Blocking!O578)/1000</f>
        <v>3813.444</v>
      </c>
      <c r="P44" s="324"/>
      <c r="Q44" s="323">
        <f>O44-M44</f>
        <v>0.2369871000000785</v>
      </c>
      <c r="S44" s="325">
        <f t="shared" si="7"/>
        <v>6.2149025531096555E-5</v>
      </c>
      <c r="U44" s="302">
        <f t="shared" si="8"/>
        <v>7.72</v>
      </c>
      <c r="V44" s="324"/>
      <c r="W44" s="323">
        <f>(Blocking!S577+Blocking!S578)/1000</f>
        <v>-16.983930318904115</v>
      </c>
      <c r="X44" s="324"/>
      <c r="Y44" s="325">
        <f t="shared" si="9"/>
        <v>-6.400397753763401E-3</v>
      </c>
      <c r="AA44" s="325">
        <f t="shared" si="10"/>
        <v>-6.3382487282323046E-3</v>
      </c>
      <c r="AB44" s="323"/>
    </row>
    <row r="45" spans="1:28" s="343" customFormat="1">
      <c r="A45" s="343">
        <f>MAX(A$14:A44)+1</f>
        <v>29</v>
      </c>
      <c r="C45" s="343" t="s">
        <v>405</v>
      </c>
      <c r="D45" s="332"/>
      <c r="E45" s="343">
        <v>15</v>
      </c>
      <c r="F45" s="332"/>
      <c r="G45" s="343">
        <v>15</v>
      </c>
      <c r="H45" s="332"/>
      <c r="I45" s="344">
        <f>(Blocking!E585)/12</f>
        <v>472.25</v>
      </c>
      <c r="J45" s="332"/>
      <c r="K45" s="344">
        <f>(Blocking!E588)/1000</f>
        <v>16985.647000000001</v>
      </c>
      <c r="L45" s="332"/>
      <c r="M45" s="345">
        <f>(Blocking!K588+Blocking!K589)/1000</f>
        <v>1218.1327200000001</v>
      </c>
      <c r="N45" s="346"/>
      <c r="O45" s="345">
        <f>(Blocking!O588+Blocking!O589)/1000</f>
        <v>1218.1369999999999</v>
      </c>
      <c r="P45" s="346"/>
      <c r="Q45" s="345">
        <f>O45-M45</f>
        <v>4.2799999998806015E-3</v>
      </c>
      <c r="R45" s="332"/>
      <c r="S45" s="347">
        <f t="shared" si="7"/>
        <v>3.5135744485055793E-6</v>
      </c>
      <c r="T45" s="332"/>
      <c r="U45" s="348">
        <f t="shared" si="8"/>
        <v>7.17</v>
      </c>
      <c r="V45" s="346"/>
      <c r="W45" s="345">
        <f>(Blocking!S588+Blocking!S589)/1000</f>
        <v>-12.380012330958904</v>
      </c>
      <c r="X45" s="346"/>
      <c r="Y45" s="347">
        <f t="shared" si="9"/>
        <v>-1.4604463789462939E-2</v>
      </c>
      <c r="Z45" s="349"/>
      <c r="AA45" s="347">
        <f t="shared" si="10"/>
        <v>-1.4600950215014433E-2</v>
      </c>
      <c r="AB45" s="323"/>
    </row>
    <row r="46" spans="1:28">
      <c r="A46" s="290">
        <f>MAX(A$14:A45)+1</f>
        <v>30</v>
      </c>
      <c r="C46" s="290" t="s">
        <v>406</v>
      </c>
      <c r="E46" s="290">
        <v>15</v>
      </c>
      <c r="G46" s="290">
        <v>15</v>
      </c>
      <c r="I46" s="281">
        <f>Blocking!E593/12</f>
        <v>2244.3333333333335</v>
      </c>
      <c r="K46" s="281">
        <f>Blocking!E596/1000</f>
        <v>5513.5479999999998</v>
      </c>
      <c r="M46" s="334">
        <f>(Blocking!K596+Blocking!K597)/1000</f>
        <v>521.27995859999999</v>
      </c>
      <c r="N46" s="324"/>
      <c r="O46" s="334">
        <f>(Blocking!O596+Blocking!O597)/1000</f>
        <v>559.34100000000001</v>
      </c>
      <c r="P46" s="324"/>
      <c r="Q46" s="334">
        <f>O46-M46</f>
        <v>38.061041400000022</v>
      </c>
      <c r="S46" s="335">
        <f t="shared" si="7"/>
        <v>7.3014587981131002E-2</v>
      </c>
      <c r="U46" s="336">
        <f t="shared" si="8"/>
        <v>10.14</v>
      </c>
      <c r="V46" s="324"/>
      <c r="W46" s="334">
        <f>(Blocking!S596+Blocking!S597)/1000</f>
        <v>-6.7381167320547943</v>
      </c>
      <c r="X46" s="324"/>
      <c r="Y46" s="335">
        <f t="shared" si="9"/>
        <v>-1.8574907092159979E-2</v>
      </c>
      <c r="AA46" s="335">
        <f t="shared" si="10"/>
        <v>5.4439680888971026E-2</v>
      </c>
      <c r="AB46" s="323"/>
    </row>
    <row r="47" spans="1:28">
      <c r="A47" s="290">
        <f>MAX(A$14:A46)+1</f>
        <v>31</v>
      </c>
      <c r="C47" s="339" t="s">
        <v>407</v>
      </c>
      <c r="D47" s="350"/>
      <c r="F47" s="350"/>
      <c r="H47" s="350"/>
      <c r="I47" s="278">
        <f>SUM(I42:I46)</f>
        <v>12422.416666666664</v>
      </c>
      <c r="J47" s="350"/>
      <c r="K47" s="278">
        <f>SUM(K42:K46)</f>
        <v>108297.09149324622</v>
      </c>
      <c r="L47" s="350"/>
      <c r="M47" s="323">
        <f>SUM(M42:M46)</f>
        <v>15541.062471699999</v>
      </c>
      <c r="N47" s="323"/>
      <c r="O47" s="323">
        <f>SUM(O42:O46)</f>
        <v>15577.838</v>
      </c>
      <c r="P47" s="323"/>
      <c r="Q47" s="323">
        <f>SUM(Q42:Q46)</f>
        <v>36.775528300000133</v>
      </c>
      <c r="R47" s="350"/>
      <c r="S47" s="325">
        <f t="shared" si="7"/>
        <v>2.3663458252592266E-3</v>
      </c>
      <c r="T47" s="350"/>
      <c r="U47" s="302">
        <f t="shared" si="8"/>
        <v>14.38</v>
      </c>
      <c r="V47" s="323"/>
      <c r="W47" s="323">
        <f>SUM(W42:W46)</f>
        <v>-80.580773490410948</v>
      </c>
      <c r="X47" s="323"/>
      <c r="Y47" s="325">
        <f t="shared" si="9"/>
        <v>-7.4509195372492072E-3</v>
      </c>
      <c r="Z47" s="351"/>
      <c r="AA47" s="325">
        <f t="shared" si="10"/>
        <v>-5.0845737119899811E-3</v>
      </c>
      <c r="AB47" s="323">
        <f>W47-Stipulation!H10-Stipulation!H13-Stipulation!H14</f>
        <v>0.45822072804766556</v>
      </c>
    </row>
    <row r="48" spans="1:28" ht="21.95" customHeight="1">
      <c r="A48" s="290">
        <f>MAX(A$14:A47)+1</f>
        <v>32</v>
      </c>
      <c r="C48" s="330" t="s">
        <v>408</v>
      </c>
      <c r="E48" s="329" t="s">
        <v>374</v>
      </c>
      <c r="G48" s="329" t="s">
        <v>374</v>
      </c>
      <c r="I48" s="278">
        <v>5</v>
      </c>
      <c r="K48" s="278">
        <f>Blocking!E842/1000</f>
        <v>8.3747600000000002</v>
      </c>
      <c r="M48" s="323">
        <f>Blocking!K842/1000</f>
        <v>0.629</v>
      </c>
      <c r="N48" s="324"/>
      <c r="O48" s="323">
        <f>Blocking!O842/1000</f>
        <v>0.629</v>
      </c>
      <c r="P48" s="324"/>
      <c r="Q48" s="323">
        <f>O48-M48</f>
        <v>0</v>
      </c>
      <c r="S48" s="325">
        <f t="shared" si="7"/>
        <v>0</v>
      </c>
      <c r="U48" s="302">
        <f t="shared" si="8"/>
        <v>7.51</v>
      </c>
      <c r="V48" s="324"/>
      <c r="W48" s="323">
        <f>Blocking!S842/1000</f>
        <v>0</v>
      </c>
      <c r="X48" s="324"/>
      <c r="Y48" s="325">
        <f t="shared" si="9"/>
        <v>0</v>
      </c>
      <c r="AA48" s="325">
        <f t="shared" si="10"/>
        <v>0</v>
      </c>
      <c r="AB48" s="323"/>
    </row>
    <row r="49" spans="1:28">
      <c r="A49" s="290">
        <f>MAX(A$14:A48)+1</f>
        <v>33</v>
      </c>
      <c r="C49" s="352" t="s">
        <v>409</v>
      </c>
      <c r="E49" s="329" t="s">
        <v>374</v>
      </c>
      <c r="G49" s="329" t="s">
        <v>374</v>
      </c>
      <c r="I49" s="278">
        <v>1</v>
      </c>
      <c r="K49" s="278">
        <f>Blocking!E832/1000</f>
        <v>134.18299999999999</v>
      </c>
      <c r="M49" s="323">
        <f>Blocking!K832/1000</f>
        <v>17.277000000000001</v>
      </c>
      <c r="N49" s="324"/>
      <c r="O49" s="323">
        <f>Blocking!O832/1000</f>
        <v>17.277000000000001</v>
      </c>
      <c r="P49" s="324"/>
      <c r="Q49" s="323">
        <f>O49-M49</f>
        <v>0</v>
      </c>
      <c r="S49" s="325">
        <f t="shared" si="7"/>
        <v>0</v>
      </c>
      <c r="U49" s="302">
        <f t="shared" si="8"/>
        <v>12.88</v>
      </c>
      <c r="V49" s="324"/>
      <c r="W49" s="323">
        <f>Blocking!S832/1000</f>
        <v>0</v>
      </c>
      <c r="X49" s="324"/>
      <c r="Y49" s="325">
        <f t="shared" si="9"/>
        <v>0</v>
      </c>
      <c r="AA49" s="325">
        <f t="shared" si="10"/>
        <v>0</v>
      </c>
      <c r="AB49" s="323"/>
    </row>
    <row r="50" spans="1:28">
      <c r="A50" s="290">
        <f>MAX(A$14:A49)+1</f>
        <v>34</v>
      </c>
      <c r="C50" s="330" t="s">
        <v>373</v>
      </c>
      <c r="D50" s="353"/>
      <c r="E50" s="331" t="s">
        <v>374</v>
      </c>
      <c r="F50" s="332"/>
      <c r="G50" s="331" t="s">
        <v>374</v>
      </c>
      <c r="H50" s="353"/>
      <c r="I50" s="354"/>
      <c r="J50" s="353"/>
      <c r="K50" s="354" t="s">
        <v>374</v>
      </c>
      <c r="L50" s="353"/>
      <c r="M50" s="334">
        <v>4.6828400000000006</v>
      </c>
      <c r="N50" s="324"/>
      <c r="O50" s="334">
        <f>M50</f>
        <v>4.6828400000000006</v>
      </c>
      <c r="P50" s="324"/>
      <c r="Q50" s="334">
        <f>O50-M50</f>
        <v>0</v>
      </c>
      <c r="R50" s="353"/>
      <c r="S50" s="335">
        <f t="shared" si="7"/>
        <v>0</v>
      </c>
      <c r="T50" s="353"/>
      <c r="U50" s="336"/>
      <c r="V50" s="324"/>
      <c r="W50" s="334"/>
      <c r="X50" s="324"/>
      <c r="Y50" s="335"/>
      <c r="Z50" s="355"/>
      <c r="AA50" s="335"/>
      <c r="AB50" s="323"/>
    </row>
    <row r="51" spans="1:28" ht="21.95" customHeight="1">
      <c r="A51" s="290">
        <f>MAX(A$14:A50)+1</f>
        <v>35</v>
      </c>
      <c r="C51" s="309" t="s">
        <v>410</v>
      </c>
      <c r="E51" s="343"/>
      <c r="F51" s="332"/>
      <c r="G51" s="343"/>
      <c r="I51" s="281">
        <f>SUM(I48:I50)+I47</f>
        <v>12428.416666666664</v>
      </c>
      <c r="K51" s="281">
        <f>SUM(K48:K50)+K47</f>
        <v>108439.64925324621</v>
      </c>
      <c r="M51" s="334">
        <f>SUM(M48:M50)+M47</f>
        <v>15563.651311699999</v>
      </c>
      <c r="N51" s="324"/>
      <c r="O51" s="334">
        <f>SUM(O48:O50)+O47</f>
        <v>15600.42684</v>
      </c>
      <c r="P51" s="324"/>
      <c r="Q51" s="334">
        <f>SUM(Q48:Q50)+Q47</f>
        <v>36.775528300000133</v>
      </c>
      <c r="S51" s="335">
        <f t="shared" si="7"/>
        <v>2.3629113479530393E-3</v>
      </c>
      <c r="U51" s="336">
        <f>ROUND(100*O51/K51,2)</f>
        <v>14.39</v>
      </c>
      <c r="V51" s="324"/>
      <c r="W51" s="334">
        <f>SUM(W48:W50)+W47</f>
        <v>-80.580773490410948</v>
      </c>
      <c r="X51" s="324"/>
      <c r="Y51" s="335">
        <f t="shared" si="9"/>
        <v>-7.4401053892122837E-3</v>
      </c>
      <c r="AA51" s="335">
        <f t="shared" ref="AA51:AA53" si="11">S51+Y51</f>
        <v>-5.0771940412592444E-3</v>
      </c>
      <c r="AB51" s="323"/>
    </row>
    <row r="52" spans="1:28" ht="24.95" customHeight="1" thickBot="1">
      <c r="A52" s="290">
        <f>MAX(A$14:A51)+1</f>
        <v>36</v>
      </c>
      <c r="C52" s="309" t="s">
        <v>411</v>
      </c>
      <c r="E52" s="343"/>
      <c r="F52" s="332"/>
      <c r="G52" s="343"/>
      <c r="I52" s="283">
        <f>I51+I39+I18</f>
        <v>830791.58333333326</v>
      </c>
      <c r="K52" s="283">
        <f>K51+K39+K18</f>
        <v>24441812.591059171</v>
      </c>
      <c r="M52" s="356">
        <f>M51+M39+M18</f>
        <v>1702237.8295219857</v>
      </c>
      <c r="N52" s="324"/>
      <c r="O52" s="356">
        <f>O51+O39+O18</f>
        <v>1819237.6272535273</v>
      </c>
      <c r="P52" s="324"/>
      <c r="Q52" s="356">
        <f>Q51+Q39+Q18</f>
        <v>116999.79773154117</v>
      </c>
      <c r="S52" s="357">
        <f t="shared" si="7"/>
        <v>6.8732932438939215E-2</v>
      </c>
      <c r="U52" s="358">
        <f>ROUND(100*O52/K52,2)</f>
        <v>7.44</v>
      </c>
      <c r="V52" s="324"/>
      <c r="W52" s="356">
        <f>W51+W39+W18</f>
        <v>-33605.646299312328</v>
      </c>
      <c r="X52" s="324"/>
      <c r="Y52" s="357">
        <f t="shared" si="9"/>
        <v>-2.8369466067535938E-2</v>
      </c>
      <c r="AA52" s="357">
        <f t="shared" si="11"/>
        <v>4.0363466371403277E-2</v>
      </c>
      <c r="AB52" s="323">
        <f>W52-Stipulation!H25</f>
        <v>-5.6462993123204797</v>
      </c>
    </row>
    <row r="53" spans="1:28" ht="35.1" customHeight="1" thickTop="1" thickBot="1">
      <c r="A53" s="290">
        <f>MAX(A$14:A52)+1</f>
        <v>37</v>
      </c>
      <c r="C53" s="359" t="s">
        <v>412</v>
      </c>
      <c r="E53" s="343"/>
      <c r="F53" s="332"/>
      <c r="G53" s="343"/>
      <c r="I53" s="283">
        <f>I47+I40+I18-I17</f>
        <v>830783.58333333326</v>
      </c>
      <c r="K53" s="283">
        <f>K47+K40+K18-K17</f>
        <v>22968747.476009883</v>
      </c>
      <c r="M53" s="356">
        <f>M47+M40+M18-M17</f>
        <v>1645392.2702684589</v>
      </c>
      <c r="N53" s="324"/>
      <c r="O53" s="356">
        <f>O47+O40+O18-O17</f>
        <v>1762392.0680000002</v>
      </c>
      <c r="P53" s="324"/>
      <c r="Q53" s="356">
        <f>Q47+Q40+Q18-Q17</f>
        <v>116999.79773154117</v>
      </c>
      <c r="S53" s="357">
        <f t="shared" si="7"/>
        <v>7.1107540642847258E-2</v>
      </c>
      <c r="U53" s="358">
        <f>ROUND(100*O53/K53,2)</f>
        <v>7.67</v>
      </c>
      <c r="V53" s="324"/>
      <c r="W53" s="356">
        <f>W47+W40+W18-W17</f>
        <v>-33605.646299312328</v>
      </c>
      <c r="X53" s="324"/>
      <c r="Y53" s="357">
        <f t="shared" si="9"/>
        <v>-2.9349583814211579E-2</v>
      </c>
      <c r="AA53" s="357">
        <f t="shared" si="11"/>
        <v>4.175795682863568E-2</v>
      </c>
    </row>
    <row r="54" spans="1:28" ht="16.5" thickTop="1">
      <c r="E54" s="343"/>
      <c r="F54" s="332"/>
      <c r="G54" s="343"/>
    </row>
    <row r="55" spans="1:28">
      <c r="C55" s="330"/>
      <c r="M55" s="323">
        <f>M53+M17+M34+M35+M38+M48+M49+M50</f>
        <v>1702237.8295219857</v>
      </c>
    </row>
    <row r="56" spans="1:28">
      <c r="C56" s="330"/>
      <c r="M56" s="360"/>
    </row>
    <row r="57" spans="1:28">
      <c r="M57" s="360"/>
    </row>
  </sheetData>
  <printOptions horizontalCentered="1"/>
  <pageMargins left="0.5" right="0.5" top="1" bottom="0.5" header="0.5" footer="0.25"/>
  <pageSetup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view="pageBreakPreview" zoomScale="70" zoomScaleSheetLayoutView="70" workbookViewId="0">
      <selection activeCell="E36" sqref="E36"/>
    </sheetView>
  </sheetViews>
  <sheetFormatPr defaultColWidth="8.5" defaultRowHeight="15.75"/>
  <cols>
    <col min="1" max="1" width="44.125" style="363" customWidth="1"/>
    <col min="2" max="2" width="1.25" style="363" customWidth="1"/>
    <col min="3" max="3" width="12.25" style="363" bestFit="1" customWidth="1"/>
    <col min="4" max="4" width="1.25" style="363" customWidth="1"/>
    <col min="5" max="5" width="10" style="363" bestFit="1" customWidth="1"/>
    <col min="6" max="6" width="7.625" style="363" bestFit="1" customWidth="1"/>
    <col min="7" max="7" width="1.25" style="363" customWidth="1"/>
    <col min="8" max="8" width="9.625" style="363" bestFit="1" customWidth="1"/>
    <col min="9" max="9" width="8.375" style="363" bestFit="1" customWidth="1"/>
    <col min="10" max="10" width="2.125" style="363" customWidth="1"/>
    <col min="11" max="11" width="8.75" style="363" customWidth="1"/>
    <col min="12" max="12" width="1.25" style="363" customWidth="1"/>
    <col min="13" max="13" width="8.75" style="363" bestFit="1" customWidth="1"/>
    <col min="14" max="14" width="11" style="363" bestFit="1" customWidth="1"/>
    <col min="15" max="15" width="15.875" style="364" bestFit="1" customWidth="1"/>
    <col min="16" max="209" width="7" style="363" customWidth="1"/>
    <col min="210" max="210" width="20.75" style="363" customWidth="1"/>
    <col min="211" max="211" width="1.875" style="363" customWidth="1"/>
    <col min="212" max="212" width="14.25" style="363" customWidth="1"/>
    <col min="213" max="213" width="4.25" style="363" customWidth="1"/>
    <col min="214" max="214" width="8.875" style="363" bestFit="1" customWidth="1"/>
    <col min="215" max="215" width="6.375" style="363" bestFit="1" customWidth="1"/>
    <col min="216" max="216" width="2.125" style="363" customWidth="1"/>
    <col min="217" max="217" width="8.5" style="363" bestFit="1" customWidth="1"/>
    <col min="218" max="218" width="6.375" style="363" bestFit="1" customWidth="1"/>
    <col min="219" max="219" width="2.375" style="363" customWidth="1"/>
    <col min="220" max="220" width="9.5" style="363" bestFit="1" customWidth="1"/>
    <col min="221" max="221" width="7" style="363" bestFit="1" customWidth="1"/>
    <col min="222" max="222" width="1.75" style="363" customWidth="1"/>
    <col min="223" max="223" width="8.875" style="363" bestFit="1" customWidth="1"/>
    <col min="224" max="224" width="2" style="363" customWidth="1"/>
    <col min="225" max="225" width="8.875" style="363" bestFit="1" customWidth="1"/>
    <col min="226" max="226" width="6.375" style="363" bestFit="1" customWidth="1"/>
    <col min="227" max="227" width="1.375" style="363" customWidth="1"/>
    <col min="228" max="228" width="8.5" style="363" bestFit="1" customWidth="1"/>
    <col min="229" max="229" width="6.375" style="363" bestFit="1" customWidth="1"/>
    <col min="230" max="230" width="1.75" style="363" customWidth="1"/>
    <col min="231" max="231" width="9.5" style="363" bestFit="1" customWidth="1"/>
    <col min="232" max="232" width="7" style="363" bestFit="1" customWidth="1"/>
    <col min="233" max="233" width="1.625" style="363" customWidth="1"/>
    <col min="234" max="234" width="7.25" style="363" bestFit="1" customWidth="1"/>
    <col min="235" max="235" width="2.625" style="363" customWidth="1"/>
    <col min="236" max="236" width="13.25" style="363" customWidth="1"/>
    <col min="237" max="237" width="6.375" style="363" bestFit="1" customWidth="1"/>
    <col min="238" max="238" width="1.75" style="363" customWidth="1"/>
    <col min="239" max="239" width="8.5" style="363"/>
    <col min="240" max="240" width="42.25" style="363" bestFit="1" customWidth="1"/>
    <col min="241" max="241" width="1.25" style="363" customWidth="1"/>
    <col min="242" max="242" width="11.625" style="363" customWidth="1"/>
    <col min="243" max="243" width="1.25" style="363" customWidth="1"/>
    <col min="244" max="244" width="9.625" style="363" customWidth="1"/>
    <col min="245" max="245" width="8.125" style="363" customWidth="1"/>
    <col min="246" max="246" width="1.25" style="363" customWidth="1"/>
    <col min="247" max="247" width="8.125" style="363" customWidth="1"/>
    <col min="248" max="248" width="1.625" style="363" customWidth="1"/>
    <col min="249" max="249" width="8" style="363" bestFit="1" customWidth="1"/>
    <col min="250" max="250" width="9.75" style="363" bestFit="1" customWidth="1"/>
    <col min="251" max="465" width="7" style="363" customWidth="1"/>
    <col min="466" max="466" width="20.75" style="363" customWidth="1"/>
    <col min="467" max="467" width="1.875" style="363" customWidth="1"/>
    <col min="468" max="468" width="14.25" style="363" customWidth="1"/>
    <col min="469" max="469" width="4.25" style="363" customWidth="1"/>
    <col min="470" max="470" width="8.875" style="363" bestFit="1" customWidth="1"/>
    <col min="471" max="471" width="6.375" style="363" bestFit="1" customWidth="1"/>
    <col min="472" max="472" width="2.125" style="363" customWidth="1"/>
    <col min="473" max="473" width="8.5" style="363" bestFit="1" customWidth="1"/>
    <col min="474" max="474" width="6.375" style="363" bestFit="1" customWidth="1"/>
    <col min="475" max="475" width="2.375" style="363" customWidth="1"/>
    <col min="476" max="476" width="9.5" style="363" bestFit="1" customWidth="1"/>
    <col min="477" max="477" width="7" style="363" bestFit="1" customWidth="1"/>
    <col min="478" max="478" width="1.75" style="363" customWidth="1"/>
    <col min="479" max="479" width="8.875" style="363" bestFit="1" customWidth="1"/>
    <col min="480" max="480" width="2" style="363" customWidth="1"/>
    <col min="481" max="481" width="8.875" style="363" bestFit="1" customWidth="1"/>
    <col min="482" max="482" width="6.375" style="363" bestFit="1" customWidth="1"/>
    <col min="483" max="483" width="1.375" style="363" customWidth="1"/>
    <col min="484" max="484" width="8.5" style="363" bestFit="1" customWidth="1"/>
    <col min="485" max="485" width="6.375" style="363" bestFit="1" customWidth="1"/>
    <col min="486" max="486" width="1.75" style="363" customWidth="1"/>
    <col min="487" max="487" width="9.5" style="363" bestFit="1" customWidth="1"/>
    <col min="488" max="488" width="7" style="363" bestFit="1" customWidth="1"/>
    <col min="489" max="489" width="1.625" style="363" customWidth="1"/>
    <col min="490" max="490" width="7.25" style="363" bestFit="1" customWidth="1"/>
    <col min="491" max="491" width="2.625" style="363" customWidth="1"/>
    <col min="492" max="492" width="13.25" style="363" customWidth="1"/>
    <col min="493" max="493" width="6.375" style="363" bestFit="1" customWidth="1"/>
    <col min="494" max="494" width="1.75" style="363" customWidth="1"/>
    <col min="495" max="495" width="8.5" style="363"/>
    <col min="496" max="496" width="42.25" style="363" bestFit="1" customWidth="1"/>
    <col min="497" max="497" width="1.25" style="363" customWidth="1"/>
    <col min="498" max="498" width="11.625" style="363" customWidth="1"/>
    <col min="499" max="499" width="1.25" style="363" customWidth="1"/>
    <col min="500" max="500" width="9.625" style="363" customWidth="1"/>
    <col min="501" max="501" width="8.125" style="363" customWidth="1"/>
    <col min="502" max="502" width="1.25" style="363" customWidth="1"/>
    <col min="503" max="503" width="8.125" style="363" customWidth="1"/>
    <col min="504" max="504" width="1.625" style="363" customWidth="1"/>
    <col min="505" max="505" width="8" style="363" bestFit="1" customWidth="1"/>
    <col min="506" max="506" width="9.75" style="363" bestFit="1" customWidth="1"/>
    <col min="507" max="721" width="7" style="363" customWidth="1"/>
    <col min="722" max="722" width="20.75" style="363" customWidth="1"/>
    <col min="723" max="723" width="1.875" style="363" customWidth="1"/>
    <col min="724" max="724" width="14.25" style="363" customWidth="1"/>
    <col min="725" max="725" width="4.25" style="363" customWidth="1"/>
    <col min="726" max="726" width="8.875" style="363" bestFit="1" customWidth="1"/>
    <col min="727" max="727" width="6.375" style="363" bestFit="1" customWidth="1"/>
    <col min="728" max="728" width="2.125" style="363" customWidth="1"/>
    <col min="729" max="729" width="8.5" style="363" bestFit="1" customWidth="1"/>
    <col min="730" max="730" width="6.375" style="363" bestFit="1" customWidth="1"/>
    <col min="731" max="731" width="2.375" style="363" customWidth="1"/>
    <col min="732" max="732" width="9.5" style="363" bestFit="1" customWidth="1"/>
    <col min="733" max="733" width="7" style="363" bestFit="1" customWidth="1"/>
    <col min="734" max="734" width="1.75" style="363" customWidth="1"/>
    <col min="735" max="735" width="8.875" style="363" bestFit="1" customWidth="1"/>
    <col min="736" max="736" width="2" style="363" customWidth="1"/>
    <col min="737" max="737" width="8.875" style="363" bestFit="1" customWidth="1"/>
    <col min="738" max="738" width="6.375" style="363" bestFit="1" customWidth="1"/>
    <col min="739" max="739" width="1.375" style="363" customWidth="1"/>
    <col min="740" max="740" width="8.5" style="363" bestFit="1" customWidth="1"/>
    <col min="741" max="741" width="6.375" style="363" bestFit="1" customWidth="1"/>
    <col min="742" max="742" width="1.75" style="363" customWidth="1"/>
    <col min="743" max="743" width="9.5" style="363" bestFit="1" customWidth="1"/>
    <col min="744" max="744" width="7" style="363" bestFit="1" customWidth="1"/>
    <col min="745" max="745" width="1.625" style="363" customWidth="1"/>
    <col min="746" max="746" width="7.25" style="363" bestFit="1" customWidth="1"/>
    <col min="747" max="747" width="2.625" style="363" customWidth="1"/>
    <col min="748" max="748" width="13.25" style="363" customWidth="1"/>
    <col min="749" max="749" width="6.375" style="363" bestFit="1" customWidth="1"/>
    <col min="750" max="750" width="1.75" style="363" customWidth="1"/>
    <col min="751" max="751" width="8.5" style="363"/>
    <col min="752" max="752" width="42.25" style="363" bestFit="1" customWidth="1"/>
    <col min="753" max="753" width="1.25" style="363" customWidth="1"/>
    <col min="754" max="754" width="11.625" style="363" customWidth="1"/>
    <col min="755" max="755" width="1.25" style="363" customWidth="1"/>
    <col min="756" max="756" width="9.625" style="363" customWidth="1"/>
    <col min="757" max="757" width="8.125" style="363" customWidth="1"/>
    <col min="758" max="758" width="1.25" style="363" customWidth="1"/>
    <col min="759" max="759" width="8.125" style="363" customWidth="1"/>
    <col min="760" max="760" width="1.625" style="363" customWidth="1"/>
    <col min="761" max="761" width="8" style="363" bestFit="1" customWidth="1"/>
    <col min="762" max="762" width="9.75" style="363" bestFit="1" customWidth="1"/>
    <col min="763" max="977" width="7" style="363" customWidth="1"/>
    <col min="978" max="978" width="20.75" style="363" customWidth="1"/>
    <col min="979" max="979" width="1.875" style="363" customWidth="1"/>
    <col min="980" max="980" width="14.25" style="363" customWidth="1"/>
    <col min="981" max="981" width="4.25" style="363" customWidth="1"/>
    <col min="982" max="982" width="8.875" style="363" bestFit="1" customWidth="1"/>
    <col min="983" max="983" width="6.375" style="363" bestFit="1" customWidth="1"/>
    <col min="984" max="984" width="2.125" style="363" customWidth="1"/>
    <col min="985" max="985" width="8.5" style="363" bestFit="1" customWidth="1"/>
    <col min="986" max="986" width="6.375" style="363" bestFit="1" customWidth="1"/>
    <col min="987" max="987" width="2.375" style="363" customWidth="1"/>
    <col min="988" max="988" width="9.5" style="363" bestFit="1" customWidth="1"/>
    <col min="989" max="989" width="7" style="363" bestFit="1" customWidth="1"/>
    <col min="990" max="990" width="1.75" style="363" customWidth="1"/>
    <col min="991" max="991" width="8.875" style="363" bestFit="1" customWidth="1"/>
    <col min="992" max="992" width="2" style="363" customWidth="1"/>
    <col min="993" max="993" width="8.875" style="363" bestFit="1" customWidth="1"/>
    <col min="994" max="994" width="6.375" style="363" bestFit="1" customWidth="1"/>
    <col min="995" max="995" width="1.375" style="363" customWidth="1"/>
    <col min="996" max="996" width="8.5" style="363" bestFit="1" customWidth="1"/>
    <col min="997" max="997" width="6.375" style="363" bestFit="1" customWidth="1"/>
    <col min="998" max="998" width="1.75" style="363" customWidth="1"/>
    <col min="999" max="999" width="9.5" style="363" bestFit="1" customWidth="1"/>
    <col min="1000" max="1000" width="7" style="363" bestFit="1" customWidth="1"/>
    <col min="1001" max="1001" width="1.625" style="363" customWidth="1"/>
    <col min="1002" max="1002" width="7.25" style="363" bestFit="1" customWidth="1"/>
    <col min="1003" max="1003" width="2.625" style="363" customWidth="1"/>
    <col min="1004" max="1004" width="13.25" style="363" customWidth="1"/>
    <col min="1005" max="1005" width="6.375" style="363" bestFit="1" customWidth="1"/>
    <col min="1006" max="1006" width="1.75" style="363" customWidth="1"/>
    <col min="1007" max="1007" width="8.5" style="363"/>
    <col min="1008" max="1008" width="42.25" style="363" bestFit="1" customWidth="1"/>
    <col min="1009" max="1009" width="1.25" style="363" customWidth="1"/>
    <col min="1010" max="1010" width="11.625" style="363" customWidth="1"/>
    <col min="1011" max="1011" width="1.25" style="363" customWidth="1"/>
    <col min="1012" max="1012" width="9.625" style="363" customWidth="1"/>
    <col min="1013" max="1013" width="8.125" style="363" customWidth="1"/>
    <col min="1014" max="1014" width="1.25" style="363" customWidth="1"/>
    <col min="1015" max="1015" width="8.125" style="363" customWidth="1"/>
    <col min="1016" max="1016" width="1.625" style="363" customWidth="1"/>
    <col min="1017" max="1017" width="8" style="363" bestFit="1" customWidth="1"/>
    <col min="1018" max="1018" width="9.75" style="363" bestFit="1" customWidth="1"/>
    <col min="1019" max="1233" width="7" style="363" customWidth="1"/>
    <col min="1234" max="1234" width="20.75" style="363" customWidth="1"/>
    <col min="1235" max="1235" width="1.875" style="363" customWidth="1"/>
    <col min="1236" max="1236" width="14.25" style="363" customWidth="1"/>
    <col min="1237" max="1237" width="4.25" style="363" customWidth="1"/>
    <col min="1238" max="1238" width="8.875" style="363" bestFit="1" customWidth="1"/>
    <col min="1239" max="1239" width="6.375" style="363" bestFit="1" customWidth="1"/>
    <col min="1240" max="1240" width="2.125" style="363" customWidth="1"/>
    <col min="1241" max="1241" width="8.5" style="363" bestFit="1" customWidth="1"/>
    <col min="1242" max="1242" width="6.375" style="363" bestFit="1" customWidth="1"/>
    <col min="1243" max="1243" width="2.375" style="363" customWidth="1"/>
    <col min="1244" max="1244" width="9.5" style="363" bestFit="1" customWidth="1"/>
    <col min="1245" max="1245" width="7" style="363" bestFit="1" customWidth="1"/>
    <col min="1246" max="1246" width="1.75" style="363" customWidth="1"/>
    <col min="1247" max="1247" width="8.875" style="363" bestFit="1" customWidth="1"/>
    <col min="1248" max="1248" width="2" style="363" customWidth="1"/>
    <col min="1249" max="1249" width="8.875" style="363" bestFit="1" customWidth="1"/>
    <col min="1250" max="1250" width="6.375" style="363" bestFit="1" customWidth="1"/>
    <col min="1251" max="1251" width="1.375" style="363" customWidth="1"/>
    <col min="1252" max="1252" width="8.5" style="363" bestFit="1" customWidth="1"/>
    <col min="1253" max="1253" width="6.375" style="363" bestFit="1" customWidth="1"/>
    <col min="1254" max="1254" width="1.75" style="363" customWidth="1"/>
    <col min="1255" max="1255" width="9.5" style="363" bestFit="1" customWidth="1"/>
    <col min="1256" max="1256" width="7" style="363" bestFit="1" customWidth="1"/>
    <col min="1257" max="1257" width="1.625" style="363" customWidth="1"/>
    <col min="1258" max="1258" width="7.25" style="363" bestFit="1" customWidth="1"/>
    <col min="1259" max="1259" width="2.625" style="363" customWidth="1"/>
    <col min="1260" max="1260" width="13.25" style="363" customWidth="1"/>
    <col min="1261" max="1261" width="6.375" style="363" bestFit="1" customWidth="1"/>
    <col min="1262" max="1262" width="1.75" style="363" customWidth="1"/>
    <col min="1263" max="1263" width="8.5" style="363"/>
    <col min="1264" max="1264" width="42.25" style="363" bestFit="1" customWidth="1"/>
    <col min="1265" max="1265" width="1.25" style="363" customWidth="1"/>
    <col min="1266" max="1266" width="11.625" style="363" customWidth="1"/>
    <col min="1267" max="1267" width="1.25" style="363" customWidth="1"/>
    <col min="1268" max="1268" width="9.625" style="363" customWidth="1"/>
    <col min="1269" max="1269" width="8.125" style="363" customWidth="1"/>
    <col min="1270" max="1270" width="1.25" style="363" customWidth="1"/>
    <col min="1271" max="1271" width="8.125" style="363" customWidth="1"/>
    <col min="1272" max="1272" width="1.625" style="363" customWidth="1"/>
    <col min="1273" max="1273" width="8" style="363" bestFit="1" customWidth="1"/>
    <col min="1274" max="1274" width="9.75" style="363" bestFit="1" customWidth="1"/>
    <col min="1275" max="1489" width="7" style="363" customWidth="1"/>
    <col min="1490" max="1490" width="20.75" style="363" customWidth="1"/>
    <col min="1491" max="1491" width="1.875" style="363" customWidth="1"/>
    <col min="1492" max="1492" width="14.25" style="363" customWidth="1"/>
    <col min="1493" max="1493" width="4.25" style="363" customWidth="1"/>
    <col min="1494" max="1494" width="8.875" style="363" bestFit="1" customWidth="1"/>
    <col min="1495" max="1495" width="6.375" style="363" bestFit="1" customWidth="1"/>
    <col min="1496" max="1496" width="2.125" style="363" customWidth="1"/>
    <col min="1497" max="1497" width="8.5" style="363" bestFit="1" customWidth="1"/>
    <col min="1498" max="1498" width="6.375" style="363" bestFit="1" customWidth="1"/>
    <col min="1499" max="1499" width="2.375" style="363" customWidth="1"/>
    <col min="1500" max="1500" width="9.5" style="363" bestFit="1" customWidth="1"/>
    <col min="1501" max="1501" width="7" style="363" bestFit="1" customWidth="1"/>
    <col min="1502" max="1502" width="1.75" style="363" customWidth="1"/>
    <col min="1503" max="1503" width="8.875" style="363" bestFit="1" customWidth="1"/>
    <col min="1504" max="1504" width="2" style="363" customWidth="1"/>
    <col min="1505" max="1505" width="8.875" style="363" bestFit="1" customWidth="1"/>
    <col min="1506" max="1506" width="6.375" style="363" bestFit="1" customWidth="1"/>
    <col min="1507" max="1507" width="1.375" style="363" customWidth="1"/>
    <col min="1508" max="1508" width="8.5" style="363" bestFit="1" customWidth="1"/>
    <col min="1509" max="1509" width="6.375" style="363" bestFit="1" customWidth="1"/>
    <col min="1510" max="1510" width="1.75" style="363" customWidth="1"/>
    <col min="1511" max="1511" width="9.5" style="363" bestFit="1" customWidth="1"/>
    <col min="1512" max="1512" width="7" style="363" bestFit="1" customWidth="1"/>
    <col min="1513" max="1513" width="1.625" style="363" customWidth="1"/>
    <col min="1514" max="1514" width="7.25" style="363" bestFit="1" customWidth="1"/>
    <col min="1515" max="1515" width="2.625" style="363" customWidth="1"/>
    <col min="1516" max="1516" width="13.25" style="363" customWidth="1"/>
    <col min="1517" max="1517" width="6.375" style="363" bestFit="1" customWidth="1"/>
    <col min="1518" max="1518" width="1.75" style="363" customWidth="1"/>
    <col min="1519" max="1519" width="8.5" style="363"/>
    <col min="1520" max="1520" width="42.25" style="363" bestFit="1" customWidth="1"/>
    <col min="1521" max="1521" width="1.25" style="363" customWidth="1"/>
    <col min="1522" max="1522" width="11.625" style="363" customWidth="1"/>
    <col min="1523" max="1523" width="1.25" style="363" customWidth="1"/>
    <col min="1524" max="1524" width="9.625" style="363" customWidth="1"/>
    <col min="1525" max="1525" width="8.125" style="363" customWidth="1"/>
    <col min="1526" max="1526" width="1.25" style="363" customWidth="1"/>
    <col min="1527" max="1527" width="8.125" style="363" customWidth="1"/>
    <col min="1528" max="1528" width="1.625" style="363" customWidth="1"/>
    <col min="1529" max="1529" width="8" style="363" bestFit="1" customWidth="1"/>
    <col min="1530" max="1530" width="9.75" style="363" bestFit="1" customWidth="1"/>
    <col min="1531" max="1745" width="7" style="363" customWidth="1"/>
    <col min="1746" max="1746" width="20.75" style="363" customWidth="1"/>
    <col min="1747" max="1747" width="1.875" style="363" customWidth="1"/>
    <col min="1748" max="1748" width="14.25" style="363" customWidth="1"/>
    <col min="1749" max="1749" width="4.25" style="363" customWidth="1"/>
    <col min="1750" max="1750" width="8.875" style="363" bestFit="1" customWidth="1"/>
    <col min="1751" max="1751" width="6.375" style="363" bestFit="1" customWidth="1"/>
    <col min="1752" max="1752" width="2.125" style="363" customWidth="1"/>
    <col min="1753" max="1753" width="8.5" style="363" bestFit="1" customWidth="1"/>
    <col min="1754" max="1754" width="6.375" style="363" bestFit="1" customWidth="1"/>
    <col min="1755" max="1755" width="2.375" style="363" customWidth="1"/>
    <col min="1756" max="1756" width="9.5" style="363" bestFit="1" customWidth="1"/>
    <col min="1757" max="1757" width="7" style="363" bestFit="1" customWidth="1"/>
    <col min="1758" max="1758" width="1.75" style="363" customWidth="1"/>
    <col min="1759" max="1759" width="8.875" style="363" bestFit="1" customWidth="1"/>
    <col min="1760" max="1760" width="2" style="363" customWidth="1"/>
    <col min="1761" max="1761" width="8.875" style="363" bestFit="1" customWidth="1"/>
    <col min="1762" max="1762" width="6.375" style="363" bestFit="1" customWidth="1"/>
    <col min="1763" max="1763" width="1.375" style="363" customWidth="1"/>
    <col min="1764" max="1764" width="8.5" style="363" bestFit="1" customWidth="1"/>
    <col min="1765" max="1765" width="6.375" style="363" bestFit="1" customWidth="1"/>
    <col min="1766" max="1766" width="1.75" style="363" customWidth="1"/>
    <col min="1767" max="1767" width="9.5" style="363" bestFit="1" customWidth="1"/>
    <col min="1768" max="1768" width="7" style="363" bestFit="1" customWidth="1"/>
    <col min="1769" max="1769" width="1.625" style="363" customWidth="1"/>
    <col min="1770" max="1770" width="7.25" style="363" bestFit="1" customWidth="1"/>
    <col min="1771" max="1771" width="2.625" style="363" customWidth="1"/>
    <col min="1772" max="1772" width="13.25" style="363" customWidth="1"/>
    <col min="1773" max="1773" width="6.375" style="363" bestFit="1" customWidth="1"/>
    <col min="1774" max="1774" width="1.75" style="363" customWidth="1"/>
    <col min="1775" max="1775" width="8.5" style="363"/>
    <col min="1776" max="1776" width="42.25" style="363" bestFit="1" customWidth="1"/>
    <col min="1777" max="1777" width="1.25" style="363" customWidth="1"/>
    <col min="1778" max="1778" width="11.625" style="363" customWidth="1"/>
    <col min="1779" max="1779" width="1.25" style="363" customWidth="1"/>
    <col min="1780" max="1780" width="9.625" style="363" customWidth="1"/>
    <col min="1781" max="1781" width="8.125" style="363" customWidth="1"/>
    <col min="1782" max="1782" width="1.25" style="363" customWidth="1"/>
    <col min="1783" max="1783" width="8.125" style="363" customWidth="1"/>
    <col min="1784" max="1784" width="1.625" style="363" customWidth="1"/>
    <col min="1785" max="1785" width="8" style="363" bestFit="1" customWidth="1"/>
    <col min="1786" max="1786" width="9.75" style="363" bestFit="1" customWidth="1"/>
    <col min="1787" max="2001" width="7" style="363" customWidth="1"/>
    <col min="2002" max="2002" width="20.75" style="363" customWidth="1"/>
    <col min="2003" max="2003" width="1.875" style="363" customWidth="1"/>
    <col min="2004" max="2004" width="14.25" style="363" customWidth="1"/>
    <col min="2005" max="2005" width="4.25" style="363" customWidth="1"/>
    <col min="2006" max="2006" width="8.875" style="363" bestFit="1" customWidth="1"/>
    <col min="2007" max="2007" width="6.375" style="363" bestFit="1" customWidth="1"/>
    <col min="2008" max="2008" width="2.125" style="363" customWidth="1"/>
    <col min="2009" max="2009" width="8.5" style="363" bestFit="1" customWidth="1"/>
    <col min="2010" max="2010" width="6.375" style="363" bestFit="1" customWidth="1"/>
    <col min="2011" max="2011" width="2.375" style="363" customWidth="1"/>
    <col min="2012" max="2012" width="9.5" style="363" bestFit="1" customWidth="1"/>
    <col min="2013" max="2013" width="7" style="363" bestFit="1" customWidth="1"/>
    <col min="2014" max="2014" width="1.75" style="363" customWidth="1"/>
    <col min="2015" max="2015" width="8.875" style="363" bestFit="1" customWidth="1"/>
    <col min="2016" max="2016" width="2" style="363" customWidth="1"/>
    <col min="2017" max="2017" width="8.875" style="363" bestFit="1" customWidth="1"/>
    <col min="2018" max="2018" width="6.375" style="363" bestFit="1" customWidth="1"/>
    <col min="2019" max="2019" width="1.375" style="363" customWidth="1"/>
    <col min="2020" max="2020" width="8.5" style="363" bestFit="1" customWidth="1"/>
    <col min="2021" max="2021" width="6.375" style="363" bestFit="1" customWidth="1"/>
    <col min="2022" max="2022" width="1.75" style="363" customWidth="1"/>
    <col min="2023" max="2023" width="9.5" style="363" bestFit="1" customWidth="1"/>
    <col min="2024" max="2024" width="7" style="363" bestFit="1" customWidth="1"/>
    <col min="2025" max="2025" width="1.625" style="363" customWidth="1"/>
    <col min="2026" max="2026" width="7.25" style="363" bestFit="1" customWidth="1"/>
    <col min="2027" max="2027" width="2.625" style="363" customWidth="1"/>
    <col min="2028" max="2028" width="13.25" style="363" customWidth="1"/>
    <col min="2029" max="2029" width="6.375" style="363" bestFit="1" customWidth="1"/>
    <col min="2030" max="2030" width="1.75" style="363" customWidth="1"/>
    <col min="2031" max="2031" width="8.5" style="363"/>
    <col min="2032" max="2032" width="42.25" style="363" bestFit="1" customWidth="1"/>
    <col min="2033" max="2033" width="1.25" style="363" customWidth="1"/>
    <col min="2034" max="2034" width="11.625" style="363" customWidth="1"/>
    <col min="2035" max="2035" width="1.25" style="363" customWidth="1"/>
    <col min="2036" max="2036" width="9.625" style="363" customWidth="1"/>
    <col min="2037" max="2037" width="8.125" style="363" customWidth="1"/>
    <col min="2038" max="2038" width="1.25" style="363" customWidth="1"/>
    <col min="2039" max="2039" width="8.125" style="363" customWidth="1"/>
    <col min="2040" max="2040" width="1.625" style="363" customWidth="1"/>
    <col min="2041" max="2041" width="8" style="363" bestFit="1" customWidth="1"/>
    <col min="2042" max="2042" width="9.75" style="363" bestFit="1" customWidth="1"/>
    <col min="2043" max="2257" width="7" style="363" customWidth="1"/>
    <col min="2258" max="2258" width="20.75" style="363" customWidth="1"/>
    <col min="2259" max="2259" width="1.875" style="363" customWidth="1"/>
    <col min="2260" max="2260" width="14.25" style="363" customWidth="1"/>
    <col min="2261" max="2261" width="4.25" style="363" customWidth="1"/>
    <col min="2262" max="2262" width="8.875" style="363" bestFit="1" customWidth="1"/>
    <col min="2263" max="2263" width="6.375" style="363" bestFit="1" customWidth="1"/>
    <col min="2264" max="2264" width="2.125" style="363" customWidth="1"/>
    <col min="2265" max="2265" width="8.5" style="363" bestFit="1" customWidth="1"/>
    <col min="2266" max="2266" width="6.375" style="363" bestFit="1" customWidth="1"/>
    <col min="2267" max="2267" width="2.375" style="363" customWidth="1"/>
    <col min="2268" max="2268" width="9.5" style="363" bestFit="1" customWidth="1"/>
    <col min="2269" max="2269" width="7" style="363" bestFit="1" customWidth="1"/>
    <col min="2270" max="2270" width="1.75" style="363" customWidth="1"/>
    <col min="2271" max="2271" width="8.875" style="363" bestFit="1" customWidth="1"/>
    <col min="2272" max="2272" width="2" style="363" customWidth="1"/>
    <col min="2273" max="2273" width="8.875" style="363" bestFit="1" customWidth="1"/>
    <col min="2274" max="2274" width="6.375" style="363" bestFit="1" customWidth="1"/>
    <col min="2275" max="2275" width="1.375" style="363" customWidth="1"/>
    <col min="2276" max="2276" width="8.5" style="363" bestFit="1" customWidth="1"/>
    <col min="2277" max="2277" width="6.375" style="363" bestFit="1" customWidth="1"/>
    <col min="2278" max="2278" width="1.75" style="363" customWidth="1"/>
    <col min="2279" max="2279" width="9.5" style="363" bestFit="1" customWidth="1"/>
    <col min="2280" max="2280" width="7" style="363" bestFit="1" customWidth="1"/>
    <col min="2281" max="2281" width="1.625" style="363" customWidth="1"/>
    <col min="2282" max="2282" width="7.25" style="363" bestFit="1" customWidth="1"/>
    <col min="2283" max="2283" width="2.625" style="363" customWidth="1"/>
    <col min="2284" max="2284" width="13.25" style="363" customWidth="1"/>
    <col min="2285" max="2285" width="6.375" style="363" bestFit="1" customWidth="1"/>
    <col min="2286" max="2286" width="1.75" style="363" customWidth="1"/>
    <col min="2287" max="2287" width="8.5" style="363"/>
    <col min="2288" max="2288" width="42.25" style="363" bestFit="1" customWidth="1"/>
    <col min="2289" max="2289" width="1.25" style="363" customWidth="1"/>
    <col min="2290" max="2290" width="11.625" style="363" customWidth="1"/>
    <col min="2291" max="2291" width="1.25" style="363" customWidth="1"/>
    <col min="2292" max="2292" width="9.625" style="363" customWidth="1"/>
    <col min="2293" max="2293" width="8.125" style="363" customWidth="1"/>
    <col min="2294" max="2294" width="1.25" style="363" customWidth="1"/>
    <col min="2295" max="2295" width="8.125" style="363" customWidth="1"/>
    <col min="2296" max="2296" width="1.625" style="363" customWidth="1"/>
    <col min="2297" max="2297" width="8" style="363" bestFit="1" customWidth="1"/>
    <col min="2298" max="2298" width="9.75" style="363" bestFit="1" customWidth="1"/>
    <col min="2299" max="2513" width="7" style="363" customWidth="1"/>
    <col min="2514" max="2514" width="20.75" style="363" customWidth="1"/>
    <col min="2515" max="2515" width="1.875" style="363" customWidth="1"/>
    <col min="2516" max="2516" width="14.25" style="363" customWidth="1"/>
    <col min="2517" max="2517" width="4.25" style="363" customWidth="1"/>
    <col min="2518" max="2518" width="8.875" style="363" bestFit="1" customWidth="1"/>
    <col min="2519" max="2519" width="6.375" style="363" bestFit="1" customWidth="1"/>
    <col min="2520" max="2520" width="2.125" style="363" customWidth="1"/>
    <col min="2521" max="2521" width="8.5" style="363" bestFit="1" customWidth="1"/>
    <col min="2522" max="2522" width="6.375" style="363" bestFit="1" customWidth="1"/>
    <col min="2523" max="2523" width="2.375" style="363" customWidth="1"/>
    <col min="2524" max="2524" width="9.5" style="363" bestFit="1" customWidth="1"/>
    <col min="2525" max="2525" width="7" style="363" bestFit="1" customWidth="1"/>
    <col min="2526" max="2526" width="1.75" style="363" customWidth="1"/>
    <col min="2527" max="2527" width="8.875" style="363" bestFit="1" customWidth="1"/>
    <col min="2528" max="2528" width="2" style="363" customWidth="1"/>
    <col min="2529" max="2529" width="8.875" style="363" bestFit="1" customWidth="1"/>
    <col min="2530" max="2530" width="6.375" style="363" bestFit="1" customWidth="1"/>
    <col min="2531" max="2531" width="1.375" style="363" customWidth="1"/>
    <col min="2532" max="2532" width="8.5" style="363" bestFit="1" customWidth="1"/>
    <col min="2533" max="2533" width="6.375" style="363" bestFit="1" customWidth="1"/>
    <col min="2534" max="2534" width="1.75" style="363" customWidth="1"/>
    <col min="2535" max="2535" width="9.5" style="363" bestFit="1" customWidth="1"/>
    <col min="2536" max="2536" width="7" style="363" bestFit="1" customWidth="1"/>
    <col min="2537" max="2537" width="1.625" style="363" customWidth="1"/>
    <col min="2538" max="2538" width="7.25" style="363" bestFit="1" customWidth="1"/>
    <col min="2539" max="2539" width="2.625" style="363" customWidth="1"/>
    <col min="2540" max="2540" width="13.25" style="363" customWidth="1"/>
    <col min="2541" max="2541" width="6.375" style="363" bestFit="1" customWidth="1"/>
    <col min="2542" max="2542" width="1.75" style="363" customWidth="1"/>
    <col min="2543" max="2543" width="8.5" style="363"/>
    <col min="2544" max="2544" width="42.25" style="363" bestFit="1" customWidth="1"/>
    <col min="2545" max="2545" width="1.25" style="363" customWidth="1"/>
    <col min="2546" max="2546" width="11.625" style="363" customWidth="1"/>
    <col min="2547" max="2547" width="1.25" style="363" customWidth="1"/>
    <col min="2548" max="2548" width="9.625" style="363" customWidth="1"/>
    <col min="2549" max="2549" width="8.125" style="363" customWidth="1"/>
    <col min="2550" max="2550" width="1.25" style="363" customWidth="1"/>
    <col min="2551" max="2551" width="8.125" style="363" customWidth="1"/>
    <col min="2552" max="2552" width="1.625" style="363" customWidth="1"/>
    <col min="2553" max="2553" width="8" style="363" bestFit="1" customWidth="1"/>
    <col min="2554" max="2554" width="9.75" style="363" bestFit="1" customWidth="1"/>
    <col min="2555" max="2769" width="7" style="363" customWidth="1"/>
    <col min="2770" max="2770" width="20.75" style="363" customWidth="1"/>
    <col min="2771" max="2771" width="1.875" style="363" customWidth="1"/>
    <col min="2772" max="2772" width="14.25" style="363" customWidth="1"/>
    <col min="2773" max="2773" width="4.25" style="363" customWidth="1"/>
    <col min="2774" max="2774" width="8.875" style="363" bestFit="1" customWidth="1"/>
    <col min="2775" max="2775" width="6.375" style="363" bestFit="1" customWidth="1"/>
    <col min="2776" max="2776" width="2.125" style="363" customWidth="1"/>
    <col min="2777" max="2777" width="8.5" style="363" bestFit="1" customWidth="1"/>
    <col min="2778" max="2778" width="6.375" style="363" bestFit="1" customWidth="1"/>
    <col min="2779" max="2779" width="2.375" style="363" customWidth="1"/>
    <col min="2780" max="2780" width="9.5" style="363" bestFit="1" customWidth="1"/>
    <col min="2781" max="2781" width="7" style="363" bestFit="1" customWidth="1"/>
    <col min="2782" max="2782" width="1.75" style="363" customWidth="1"/>
    <col min="2783" max="2783" width="8.875" style="363" bestFit="1" customWidth="1"/>
    <col min="2784" max="2784" width="2" style="363" customWidth="1"/>
    <col min="2785" max="2785" width="8.875" style="363" bestFit="1" customWidth="1"/>
    <col min="2786" max="2786" width="6.375" style="363" bestFit="1" customWidth="1"/>
    <col min="2787" max="2787" width="1.375" style="363" customWidth="1"/>
    <col min="2788" max="2788" width="8.5" style="363" bestFit="1" customWidth="1"/>
    <col min="2789" max="2789" width="6.375" style="363" bestFit="1" customWidth="1"/>
    <col min="2790" max="2790" width="1.75" style="363" customWidth="1"/>
    <col min="2791" max="2791" width="9.5" style="363" bestFit="1" customWidth="1"/>
    <col min="2792" max="2792" width="7" style="363" bestFit="1" customWidth="1"/>
    <col min="2793" max="2793" width="1.625" style="363" customWidth="1"/>
    <col min="2794" max="2794" width="7.25" style="363" bestFit="1" customWidth="1"/>
    <col min="2795" max="2795" width="2.625" style="363" customWidth="1"/>
    <col min="2796" max="2796" width="13.25" style="363" customWidth="1"/>
    <col min="2797" max="2797" width="6.375" style="363" bestFit="1" customWidth="1"/>
    <col min="2798" max="2798" width="1.75" style="363" customWidth="1"/>
    <col min="2799" max="2799" width="8.5" style="363"/>
    <col min="2800" max="2800" width="42.25" style="363" bestFit="1" customWidth="1"/>
    <col min="2801" max="2801" width="1.25" style="363" customWidth="1"/>
    <col min="2802" max="2802" width="11.625" style="363" customWidth="1"/>
    <col min="2803" max="2803" width="1.25" style="363" customWidth="1"/>
    <col min="2804" max="2804" width="9.625" style="363" customWidth="1"/>
    <col min="2805" max="2805" width="8.125" style="363" customWidth="1"/>
    <col min="2806" max="2806" width="1.25" style="363" customWidth="1"/>
    <col min="2807" max="2807" width="8.125" style="363" customWidth="1"/>
    <col min="2808" max="2808" width="1.625" style="363" customWidth="1"/>
    <col min="2809" max="2809" width="8" style="363" bestFit="1" customWidth="1"/>
    <col min="2810" max="2810" width="9.75" style="363" bestFit="1" customWidth="1"/>
    <col min="2811" max="3025" width="7" style="363" customWidth="1"/>
    <col min="3026" max="3026" width="20.75" style="363" customWidth="1"/>
    <col min="3027" max="3027" width="1.875" style="363" customWidth="1"/>
    <col min="3028" max="3028" width="14.25" style="363" customWidth="1"/>
    <col min="3029" max="3029" width="4.25" style="363" customWidth="1"/>
    <col min="3030" max="3030" width="8.875" style="363" bestFit="1" customWidth="1"/>
    <col min="3031" max="3031" width="6.375" style="363" bestFit="1" customWidth="1"/>
    <col min="3032" max="3032" width="2.125" style="363" customWidth="1"/>
    <col min="3033" max="3033" width="8.5" style="363" bestFit="1" customWidth="1"/>
    <col min="3034" max="3034" width="6.375" style="363" bestFit="1" customWidth="1"/>
    <col min="3035" max="3035" width="2.375" style="363" customWidth="1"/>
    <col min="3036" max="3036" width="9.5" style="363" bestFit="1" customWidth="1"/>
    <col min="3037" max="3037" width="7" style="363" bestFit="1" customWidth="1"/>
    <col min="3038" max="3038" width="1.75" style="363" customWidth="1"/>
    <col min="3039" max="3039" width="8.875" style="363" bestFit="1" customWidth="1"/>
    <col min="3040" max="3040" width="2" style="363" customWidth="1"/>
    <col min="3041" max="3041" width="8.875" style="363" bestFit="1" customWidth="1"/>
    <col min="3042" max="3042" width="6.375" style="363" bestFit="1" customWidth="1"/>
    <col min="3043" max="3043" width="1.375" style="363" customWidth="1"/>
    <col min="3044" max="3044" width="8.5" style="363" bestFit="1" customWidth="1"/>
    <col min="3045" max="3045" width="6.375" style="363" bestFit="1" customWidth="1"/>
    <col min="3046" max="3046" width="1.75" style="363" customWidth="1"/>
    <col min="3047" max="3047" width="9.5" style="363" bestFit="1" customWidth="1"/>
    <col min="3048" max="3048" width="7" style="363" bestFit="1" customWidth="1"/>
    <col min="3049" max="3049" width="1.625" style="363" customWidth="1"/>
    <col min="3050" max="3050" width="7.25" style="363" bestFit="1" customWidth="1"/>
    <col min="3051" max="3051" width="2.625" style="363" customWidth="1"/>
    <col min="3052" max="3052" width="13.25" style="363" customWidth="1"/>
    <col min="3053" max="3053" width="6.375" style="363" bestFit="1" customWidth="1"/>
    <col min="3054" max="3054" width="1.75" style="363" customWidth="1"/>
    <col min="3055" max="3055" width="8.5" style="363"/>
    <col min="3056" max="3056" width="42.25" style="363" bestFit="1" customWidth="1"/>
    <col min="3057" max="3057" width="1.25" style="363" customWidth="1"/>
    <col min="3058" max="3058" width="11.625" style="363" customWidth="1"/>
    <col min="3059" max="3059" width="1.25" style="363" customWidth="1"/>
    <col min="3060" max="3060" width="9.625" style="363" customWidth="1"/>
    <col min="3061" max="3061" width="8.125" style="363" customWidth="1"/>
    <col min="3062" max="3062" width="1.25" style="363" customWidth="1"/>
    <col min="3063" max="3063" width="8.125" style="363" customWidth="1"/>
    <col min="3064" max="3064" width="1.625" style="363" customWidth="1"/>
    <col min="3065" max="3065" width="8" style="363" bestFit="1" customWidth="1"/>
    <col min="3066" max="3066" width="9.75" style="363" bestFit="1" customWidth="1"/>
    <col min="3067" max="3281" width="7" style="363" customWidth="1"/>
    <col min="3282" max="3282" width="20.75" style="363" customWidth="1"/>
    <col min="3283" max="3283" width="1.875" style="363" customWidth="1"/>
    <col min="3284" max="3284" width="14.25" style="363" customWidth="1"/>
    <col min="3285" max="3285" width="4.25" style="363" customWidth="1"/>
    <col min="3286" max="3286" width="8.875" style="363" bestFit="1" customWidth="1"/>
    <col min="3287" max="3287" width="6.375" style="363" bestFit="1" customWidth="1"/>
    <col min="3288" max="3288" width="2.125" style="363" customWidth="1"/>
    <col min="3289" max="3289" width="8.5" style="363" bestFit="1" customWidth="1"/>
    <col min="3290" max="3290" width="6.375" style="363" bestFit="1" customWidth="1"/>
    <col min="3291" max="3291" width="2.375" style="363" customWidth="1"/>
    <col min="3292" max="3292" width="9.5" style="363" bestFit="1" customWidth="1"/>
    <col min="3293" max="3293" width="7" style="363" bestFit="1" customWidth="1"/>
    <col min="3294" max="3294" width="1.75" style="363" customWidth="1"/>
    <col min="3295" max="3295" width="8.875" style="363" bestFit="1" customWidth="1"/>
    <col min="3296" max="3296" width="2" style="363" customWidth="1"/>
    <col min="3297" max="3297" width="8.875" style="363" bestFit="1" customWidth="1"/>
    <col min="3298" max="3298" width="6.375" style="363" bestFit="1" customWidth="1"/>
    <col min="3299" max="3299" width="1.375" style="363" customWidth="1"/>
    <col min="3300" max="3300" width="8.5" style="363" bestFit="1" customWidth="1"/>
    <col min="3301" max="3301" width="6.375" style="363" bestFit="1" customWidth="1"/>
    <col min="3302" max="3302" width="1.75" style="363" customWidth="1"/>
    <col min="3303" max="3303" width="9.5" style="363" bestFit="1" customWidth="1"/>
    <col min="3304" max="3304" width="7" style="363" bestFit="1" customWidth="1"/>
    <col min="3305" max="3305" width="1.625" style="363" customWidth="1"/>
    <col min="3306" max="3306" width="7.25" style="363" bestFit="1" customWidth="1"/>
    <col min="3307" max="3307" width="2.625" style="363" customWidth="1"/>
    <col min="3308" max="3308" width="13.25" style="363" customWidth="1"/>
    <col min="3309" max="3309" width="6.375" style="363" bestFit="1" customWidth="1"/>
    <col min="3310" max="3310" width="1.75" style="363" customWidth="1"/>
    <col min="3311" max="3311" width="8.5" style="363"/>
    <col min="3312" max="3312" width="42.25" style="363" bestFit="1" customWidth="1"/>
    <col min="3313" max="3313" width="1.25" style="363" customWidth="1"/>
    <col min="3314" max="3314" width="11.625" style="363" customWidth="1"/>
    <col min="3315" max="3315" width="1.25" style="363" customWidth="1"/>
    <col min="3316" max="3316" width="9.625" style="363" customWidth="1"/>
    <col min="3317" max="3317" width="8.125" style="363" customWidth="1"/>
    <col min="3318" max="3318" width="1.25" style="363" customWidth="1"/>
    <col min="3319" max="3319" width="8.125" style="363" customWidth="1"/>
    <col min="3320" max="3320" width="1.625" style="363" customWidth="1"/>
    <col min="3321" max="3321" width="8" style="363" bestFit="1" customWidth="1"/>
    <col min="3322" max="3322" width="9.75" style="363" bestFit="1" customWidth="1"/>
    <col min="3323" max="3537" width="7" style="363" customWidth="1"/>
    <col min="3538" max="3538" width="20.75" style="363" customWidth="1"/>
    <col min="3539" max="3539" width="1.875" style="363" customWidth="1"/>
    <col min="3540" max="3540" width="14.25" style="363" customWidth="1"/>
    <col min="3541" max="3541" width="4.25" style="363" customWidth="1"/>
    <col min="3542" max="3542" width="8.875" style="363" bestFit="1" customWidth="1"/>
    <col min="3543" max="3543" width="6.375" style="363" bestFit="1" customWidth="1"/>
    <col min="3544" max="3544" width="2.125" style="363" customWidth="1"/>
    <col min="3545" max="3545" width="8.5" style="363" bestFit="1" customWidth="1"/>
    <col min="3546" max="3546" width="6.375" style="363" bestFit="1" customWidth="1"/>
    <col min="3547" max="3547" width="2.375" style="363" customWidth="1"/>
    <col min="3548" max="3548" width="9.5" style="363" bestFit="1" customWidth="1"/>
    <col min="3549" max="3549" width="7" style="363" bestFit="1" customWidth="1"/>
    <col min="3550" max="3550" width="1.75" style="363" customWidth="1"/>
    <col min="3551" max="3551" width="8.875" style="363" bestFit="1" customWidth="1"/>
    <col min="3552" max="3552" width="2" style="363" customWidth="1"/>
    <col min="3553" max="3553" width="8.875" style="363" bestFit="1" customWidth="1"/>
    <col min="3554" max="3554" width="6.375" style="363" bestFit="1" customWidth="1"/>
    <col min="3555" max="3555" width="1.375" style="363" customWidth="1"/>
    <col min="3556" max="3556" width="8.5" style="363" bestFit="1" customWidth="1"/>
    <col min="3557" max="3557" width="6.375" style="363" bestFit="1" customWidth="1"/>
    <col min="3558" max="3558" width="1.75" style="363" customWidth="1"/>
    <col min="3559" max="3559" width="9.5" style="363" bestFit="1" customWidth="1"/>
    <col min="3560" max="3560" width="7" style="363" bestFit="1" customWidth="1"/>
    <col min="3561" max="3561" width="1.625" style="363" customWidth="1"/>
    <col min="3562" max="3562" width="7.25" style="363" bestFit="1" customWidth="1"/>
    <col min="3563" max="3563" width="2.625" style="363" customWidth="1"/>
    <col min="3564" max="3564" width="13.25" style="363" customWidth="1"/>
    <col min="3565" max="3565" width="6.375" style="363" bestFit="1" customWidth="1"/>
    <col min="3566" max="3566" width="1.75" style="363" customWidth="1"/>
    <col min="3567" max="3567" width="8.5" style="363"/>
    <col min="3568" max="3568" width="42.25" style="363" bestFit="1" customWidth="1"/>
    <col min="3569" max="3569" width="1.25" style="363" customWidth="1"/>
    <col min="3570" max="3570" width="11.625" style="363" customWidth="1"/>
    <col min="3571" max="3571" width="1.25" style="363" customWidth="1"/>
    <col min="3572" max="3572" width="9.625" style="363" customWidth="1"/>
    <col min="3573" max="3573" width="8.125" style="363" customWidth="1"/>
    <col min="3574" max="3574" width="1.25" style="363" customWidth="1"/>
    <col min="3575" max="3575" width="8.125" style="363" customWidth="1"/>
    <col min="3576" max="3576" width="1.625" style="363" customWidth="1"/>
    <col min="3577" max="3577" width="8" style="363" bestFit="1" customWidth="1"/>
    <col min="3578" max="3578" width="9.75" style="363" bestFit="1" customWidth="1"/>
    <col min="3579" max="3793" width="7" style="363" customWidth="1"/>
    <col min="3794" max="3794" width="20.75" style="363" customWidth="1"/>
    <col min="3795" max="3795" width="1.875" style="363" customWidth="1"/>
    <col min="3796" max="3796" width="14.25" style="363" customWidth="1"/>
    <col min="3797" max="3797" width="4.25" style="363" customWidth="1"/>
    <col min="3798" max="3798" width="8.875" style="363" bestFit="1" customWidth="1"/>
    <col min="3799" max="3799" width="6.375" style="363" bestFit="1" customWidth="1"/>
    <col min="3800" max="3800" width="2.125" style="363" customWidth="1"/>
    <col min="3801" max="3801" width="8.5" style="363" bestFit="1" customWidth="1"/>
    <col min="3802" max="3802" width="6.375" style="363" bestFit="1" customWidth="1"/>
    <col min="3803" max="3803" width="2.375" style="363" customWidth="1"/>
    <col min="3804" max="3804" width="9.5" style="363" bestFit="1" customWidth="1"/>
    <col min="3805" max="3805" width="7" style="363" bestFit="1" customWidth="1"/>
    <col min="3806" max="3806" width="1.75" style="363" customWidth="1"/>
    <col min="3807" max="3807" width="8.875" style="363" bestFit="1" customWidth="1"/>
    <col min="3808" max="3808" width="2" style="363" customWidth="1"/>
    <col min="3809" max="3809" width="8.875" style="363" bestFit="1" customWidth="1"/>
    <col min="3810" max="3810" width="6.375" style="363" bestFit="1" customWidth="1"/>
    <col min="3811" max="3811" width="1.375" style="363" customWidth="1"/>
    <col min="3812" max="3812" width="8.5" style="363" bestFit="1" customWidth="1"/>
    <col min="3813" max="3813" width="6.375" style="363" bestFit="1" customWidth="1"/>
    <col min="3814" max="3814" width="1.75" style="363" customWidth="1"/>
    <col min="3815" max="3815" width="9.5" style="363" bestFit="1" customWidth="1"/>
    <col min="3816" max="3816" width="7" style="363" bestFit="1" customWidth="1"/>
    <col min="3817" max="3817" width="1.625" style="363" customWidth="1"/>
    <col min="3818" max="3818" width="7.25" style="363" bestFit="1" customWidth="1"/>
    <col min="3819" max="3819" width="2.625" style="363" customWidth="1"/>
    <col min="3820" max="3820" width="13.25" style="363" customWidth="1"/>
    <col min="3821" max="3821" width="6.375" style="363" bestFit="1" customWidth="1"/>
    <col min="3822" max="3822" width="1.75" style="363" customWidth="1"/>
    <col min="3823" max="3823" width="8.5" style="363"/>
    <col min="3824" max="3824" width="42.25" style="363" bestFit="1" customWidth="1"/>
    <col min="3825" max="3825" width="1.25" style="363" customWidth="1"/>
    <col min="3826" max="3826" width="11.625" style="363" customWidth="1"/>
    <col min="3827" max="3827" width="1.25" style="363" customWidth="1"/>
    <col min="3828" max="3828" width="9.625" style="363" customWidth="1"/>
    <col min="3829" max="3829" width="8.125" style="363" customWidth="1"/>
    <col min="3830" max="3830" width="1.25" style="363" customWidth="1"/>
    <col min="3831" max="3831" width="8.125" style="363" customWidth="1"/>
    <col min="3832" max="3832" width="1.625" style="363" customWidth="1"/>
    <col min="3833" max="3833" width="8" style="363" bestFit="1" customWidth="1"/>
    <col min="3834" max="3834" width="9.75" style="363" bestFit="1" customWidth="1"/>
    <col min="3835" max="4049" width="7" style="363" customWidth="1"/>
    <col min="4050" max="4050" width="20.75" style="363" customWidth="1"/>
    <col min="4051" max="4051" width="1.875" style="363" customWidth="1"/>
    <col min="4052" max="4052" width="14.25" style="363" customWidth="1"/>
    <col min="4053" max="4053" width="4.25" style="363" customWidth="1"/>
    <col min="4054" max="4054" width="8.875" style="363" bestFit="1" customWidth="1"/>
    <col min="4055" max="4055" width="6.375" style="363" bestFit="1" customWidth="1"/>
    <col min="4056" max="4056" width="2.125" style="363" customWidth="1"/>
    <col min="4057" max="4057" width="8.5" style="363" bestFit="1" customWidth="1"/>
    <col min="4058" max="4058" width="6.375" style="363" bestFit="1" customWidth="1"/>
    <col min="4059" max="4059" width="2.375" style="363" customWidth="1"/>
    <col min="4060" max="4060" width="9.5" style="363" bestFit="1" customWidth="1"/>
    <col min="4061" max="4061" width="7" style="363" bestFit="1" customWidth="1"/>
    <col min="4062" max="4062" width="1.75" style="363" customWidth="1"/>
    <col min="4063" max="4063" width="8.875" style="363" bestFit="1" customWidth="1"/>
    <col min="4064" max="4064" width="2" style="363" customWidth="1"/>
    <col min="4065" max="4065" width="8.875" style="363" bestFit="1" customWidth="1"/>
    <col min="4066" max="4066" width="6.375" style="363" bestFit="1" customWidth="1"/>
    <col min="4067" max="4067" width="1.375" style="363" customWidth="1"/>
    <col min="4068" max="4068" width="8.5" style="363" bestFit="1" customWidth="1"/>
    <col min="4069" max="4069" width="6.375" style="363" bestFit="1" customWidth="1"/>
    <col min="4070" max="4070" width="1.75" style="363" customWidth="1"/>
    <col min="4071" max="4071" width="9.5" style="363" bestFit="1" customWidth="1"/>
    <col min="4072" max="4072" width="7" style="363" bestFit="1" customWidth="1"/>
    <col min="4073" max="4073" width="1.625" style="363" customWidth="1"/>
    <col min="4074" max="4074" width="7.25" style="363" bestFit="1" customWidth="1"/>
    <col min="4075" max="4075" width="2.625" style="363" customWidth="1"/>
    <col min="4076" max="4076" width="13.25" style="363" customWidth="1"/>
    <col min="4077" max="4077" width="6.375" style="363" bestFit="1" customWidth="1"/>
    <col min="4078" max="4078" width="1.75" style="363" customWidth="1"/>
    <col min="4079" max="4079" width="8.5" style="363"/>
    <col min="4080" max="4080" width="42.25" style="363" bestFit="1" customWidth="1"/>
    <col min="4081" max="4081" width="1.25" style="363" customWidth="1"/>
    <col min="4082" max="4082" width="11.625" style="363" customWidth="1"/>
    <col min="4083" max="4083" width="1.25" style="363" customWidth="1"/>
    <col min="4084" max="4084" width="9.625" style="363" customWidth="1"/>
    <col min="4085" max="4085" width="8.125" style="363" customWidth="1"/>
    <col min="4086" max="4086" width="1.25" style="363" customWidth="1"/>
    <col min="4087" max="4087" width="8.125" style="363" customWidth="1"/>
    <col min="4088" max="4088" width="1.625" style="363" customWidth="1"/>
    <col min="4089" max="4089" width="8" style="363" bestFit="1" customWidth="1"/>
    <col min="4090" max="4090" width="9.75" style="363" bestFit="1" customWidth="1"/>
    <col min="4091" max="4305" width="7" style="363" customWidth="1"/>
    <col min="4306" max="4306" width="20.75" style="363" customWidth="1"/>
    <col min="4307" max="4307" width="1.875" style="363" customWidth="1"/>
    <col min="4308" max="4308" width="14.25" style="363" customWidth="1"/>
    <col min="4309" max="4309" width="4.25" style="363" customWidth="1"/>
    <col min="4310" max="4310" width="8.875" style="363" bestFit="1" customWidth="1"/>
    <col min="4311" max="4311" width="6.375" style="363" bestFit="1" customWidth="1"/>
    <col min="4312" max="4312" width="2.125" style="363" customWidth="1"/>
    <col min="4313" max="4313" width="8.5" style="363" bestFit="1" customWidth="1"/>
    <col min="4314" max="4314" width="6.375" style="363" bestFit="1" customWidth="1"/>
    <col min="4315" max="4315" width="2.375" style="363" customWidth="1"/>
    <col min="4316" max="4316" width="9.5" style="363" bestFit="1" customWidth="1"/>
    <col min="4317" max="4317" width="7" style="363" bestFit="1" customWidth="1"/>
    <col min="4318" max="4318" width="1.75" style="363" customWidth="1"/>
    <col min="4319" max="4319" width="8.875" style="363" bestFit="1" customWidth="1"/>
    <col min="4320" max="4320" width="2" style="363" customWidth="1"/>
    <col min="4321" max="4321" width="8.875" style="363" bestFit="1" customWidth="1"/>
    <col min="4322" max="4322" width="6.375" style="363" bestFit="1" customWidth="1"/>
    <col min="4323" max="4323" width="1.375" style="363" customWidth="1"/>
    <col min="4324" max="4324" width="8.5" style="363" bestFit="1" customWidth="1"/>
    <col min="4325" max="4325" width="6.375" style="363" bestFit="1" customWidth="1"/>
    <col min="4326" max="4326" width="1.75" style="363" customWidth="1"/>
    <col min="4327" max="4327" width="9.5" style="363" bestFit="1" customWidth="1"/>
    <col min="4328" max="4328" width="7" style="363" bestFit="1" customWidth="1"/>
    <col min="4329" max="4329" width="1.625" style="363" customWidth="1"/>
    <col min="4330" max="4330" width="7.25" style="363" bestFit="1" customWidth="1"/>
    <col min="4331" max="4331" width="2.625" style="363" customWidth="1"/>
    <col min="4332" max="4332" width="13.25" style="363" customWidth="1"/>
    <col min="4333" max="4333" width="6.375" style="363" bestFit="1" customWidth="1"/>
    <col min="4334" max="4334" width="1.75" style="363" customWidth="1"/>
    <col min="4335" max="4335" width="8.5" style="363"/>
    <col min="4336" max="4336" width="42.25" style="363" bestFit="1" customWidth="1"/>
    <col min="4337" max="4337" width="1.25" style="363" customWidth="1"/>
    <col min="4338" max="4338" width="11.625" style="363" customWidth="1"/>
    <col min="4339" max="4339" width="1.25" style="363" customWidth="1"/>
    <col min="4340" max="4340" width="9.625" style="363" customWidth="1"/>
    <col min="4341" max="4341" width="8.125" style="363" customWidth="1"/>
    <col min="4342" max="4342" width="1.25" style="363" customWidth="1"/>
    <col min="4343" max="4343" width="8.125" style="363" customWidth="1"/>
    <col min="4344" max="4344" width="1.625" style="363" customWidth="1"/>
    <col min="4345" max="4345" width="8" style="363" bestFit="1" customWidth="1"/>
    <col min="4346" max="4346" width="9.75" style="363" bestFit="1" customWidth="1"/>
    <col min="4347" max="4561" width="7" style="363" customWidth="1"/>
    <col min="4562" max="4562" width="20.75" style="363" customWidth="1"/>
    <col min="4563" max="4563" width="1.875" style="363" customWidth="1"/>
    <col min="4564" max="4564" width="14.25" style="363" customWidth="1"/>
    <col min="4565" max="4565" width="4.25" style="363" customWidth="1"/>
    <col min="4566" max="4566" width="8.875" style="363" bestFit="1" customWidth="1"/>
    <col min="4567" max="4567" width="6.375" style="363" bestFit="1" customWidth="1"/>
    <col min="4568" max="4568" width="2.125" style="363" customWidth="1"/>
    <col min="4569" max="4569" width="8.5" style="363" bestFit="1" customWidth="1"/>
    <col min="4570" max="4570" width="6.375" style="363" bestFit="1" customWidth="1"/>
    <col min="4571" max="4571" width="2.375" style="363" customWidth="1"/>
    <col min="4572" max="4572" width="9.5" style="363" bestFit="1" customWidth="1"/>
    <col min="4573" max="4573" width="7" style="363" bestFit="1" customWidth="1"/>
    <col min="4574" max="4574" width="1.75" style="363" customWidth="1"/>
    <col min="4575" max="4575" width="8.875" style="363" bestFit="1" customWidth="1"/>
    <col min="4576" max="4576" width="2" style="363" customWidth="1"/>
    <col min="4577" max="4577" width="8.875" style="363" bestFit="1" customWidth="1"/>
    <col min="4578" max="4578" width="6.375" style="363" bestFit="1" customWidth="1"/>
    <col min="4579" max="4579" width="1.375" style="363" customWidth="1"/>
    <col min="4580" max="4580" width="8.5" style="363" bestFit="1" customWidth="1"/>
    <col min="4581" max="4581" width="6.375" style="363" bestFit="1" customWidth="1"/>
    <col min="4582" max="4582" width="1.75" style="363" customWidth="1"/>
    <col min="4583" max="4583" width="9.5" style="363" bestFit="1" customWidth="1"/>
    <col min="4584" max="4584" width="7" style="363" bestFit="1" customWidth="1"/>
    <col min="4585" max="4585" width="1.625" style="363" customWidth="1"/>
    <col min="4586" max="4586" width="7.25" style="363" bestFit="1" customWidth="1"/>
    <col min="4587" max="4587" width="2.625" style="363" customWidth="1"/>
    <col min="4588" max="4588" width="13.25" style="363" customWidth="1"/>
    <col min="4589" max="4589" width="6.375" style="363" bestFit="1" customWidth="1"/>
    <col min="4590" max="4590" width="1.75" style="363" customWidth="1"/>
    <col min="4591" max="4591" width="8.5" style="363"/>
    <col min="4592" max="4592" width="42.25" style="363" bestFit="1" customWidth="1"/>
    <col min="4593" max="4593" width="1.25" style="363" customWidth="1"/>
    <col min="4594" max="4594" width="11.625" style="363" customWidth="1"/>
    <col min="4595" max="4595" width="1.25" style="363" customWidth="1"/>
    <col min="4596" max="4596" width="9.625" style="363" customWidth="1"/>
    <col min="4597" max="4597" width="8.125" style="363" customWidth="1"/>
    <col min="4598" max="4598" width="1.25" style="363" customWidth="1"/>
    <col min="4599" max="4599" width="8.125" style="363" customWidth="1"/>
    <col min="4600" max="4600" width="1.625" style="363" customWidth="1"/>
    <col min="4601" max="4601" width="8" style="363" bestFit="1" customWidth="1"/>
    <col min="4602" max="4602" width="9.75" style="363" bestFit="1" customWidth="1"/>
    <col min="4603" max="4817" width="7" style="363" customWidth="1"/>
    <col min="4818" max="4818" width="20.75" style="363" customWidth="1"/>
    <col min="4819" max="4819" width="1.875" style="363" customWidth="1"/>
    <col min="4820" max="4820" width="14.25" style="363" customWidth="1"/>
    <col min="4821" max="4821" width="4.25" style="363" customWidth="1"/>
    <col min="4822" max="4822" width="8.875" style="363" bestFit="1" customWidth="1"/>
    <col min="4823" max="4823" width="6.375" style="363" bestFit="1" customWidth="1"/>
    <col min="4824" max="4824" width="2.125" style="363" customWidth="1"/>
    <col min="4825" max="4825" width="8.5" style="363" bestFit="1" customWidth="1"/>
    <col min="4826" max="4826" width="6.375" style="363" bestFit="1" customWidth="1"/>
    <col min="4827" max="4827" width="2.375" style="363" customWidth="1"/>
    <col min="4828" max="4828" width="9.5" style="363" bestFit="1" customWidth="1"/>
    <col min="4829" max="4829" width="7" style="363" bestFit="1" customWidth="1"/>
    <col min="4830" max="4830" width="1.75" style="363" customWidth="1"/>
    <col min="4831" max="4831" width="8.875" style="363" bestFit="1" customWidth="1"/>
    <col min="4832" max="4832" width="2" style="363" customWidth="1"/>
    <col min="4833" max="4833" width="8.875" style="363" bestFit="1" customWidth="1"/>
    <col min="4834" max="4834" width="6.375" style="363" bestFit="1" customWidth="1"/>
    <col min="4835" max="4835" width="1.375" style="363" customWidth="1"/>
    <col min="4836" max="4836" width="8.5" style="363" bestFit="1" customWidth="1"/>
    <col min="4837" max="4837" width="6.375" style="363" bestFit="1" customWidth="1"/>
    <col min="4838" max="4838" width="1.75" style="363" customWidth="1"/>
    <col min="4839" max="4839" width="9.5" style="363" bestFit="1" customWidth="1"/>
    <col min="4840" max="4840" width="7" style="363" bestFit="1" customWidth="1"/>
    <col min="4841" max="4841" width="1.625" style="363" customWidth="1"/>
    <col min="4842" max="4842" width="7.25" style="363" bestFit="1" customWidth="1"/>
    <col min="4843" max="4843" width="2.625" style="363" customWidth="1"/>
    <col min="4844" max="4844" width="13.25" style="363" customWidth="1"/>
    <col min="4845" max="4845" width="6.375" style="363" bestFit="1" customWidth="1"/>
    <col min="4846" max="4846" width="1.75" style="363" customWidth="1"/>
    <col min="4847" max="4847" width="8.5" style="363"/>
    <col min="4848" max="4848" width="42.25" style="363" bestFit="1" customWidth="1"/>
    <col min="4849" max="4849" width="1.25" style="363" customWidth="1"/>
    <col min="4850" max="4850" width="11.625" style="363" customWidth="1"/>
    <col min="4851" max="4851" width="1.25" style="363" customWidth="1"/>
    <col min="4852" max="4852" width="9.625" style="363" customWidth="1"/>
    <col min="4853" max="4853" width="8.125" style="363" customWidth="1"/>
    <col min="4854" max="4854" width="1.25" style="363" customWidth="1"/>
    <col min="4855" max="4855" width="8.125" style="363" customWidth="1"/>
    <col min="4856" max="4856" width="1.625" style="363" customWidth="1"/>
    <col min="4857" max="4857" width="8" style="363" bestFit="1" customWidth="1"/>
    <col min="4858" max="4858" width="9.75" style="363" bestFit="1" customWidth="1"/>
    <col min="4859" max="5073" width="7" style="363" customWidth="1"/>
    <col min="5074" max="5074" width="20.75" style="363" customWidth="1"/>
    <col min="5075" max="5075" width="1.875" style="363" customWidth="1"/>
    <col min="5076" max="5076" width="14.25" style="363" customWidth="1"/>
    <col min="5077" max="5077" width="4.25" style="363" customWidth="1"/>
    <col min="5078" max="5078" width="8.875" style="363" bestFit="1" customWidth="1"/>
    <col min="5079" max="5079" width="6.375" style="363" bestFit="1" customWidth="1"/>
    <col min="5080" max="5080" width="2.125" style="363" customWidth="1"/>
    <col min="5081" max="5081" width="8.5" style="363" bestFit="1" customWidth="1"/>
    <col min="5082" max="5082" width="6.375" style="363" bestFit="1" customWidth="1"/>
    <col min="5083" max="5083" width="2.375" style="363" customWidth="1"/>
    <col min="5084" max="5084" width="9.5" style="363" bestFit="1" customWidth="1"/>
    <col min="5085" max="5085" width="7" style="363" bestFit="1" customWidth="1"/>
    <col min="5086" max="5086" width="1.75" style="363" customWidth="1"/>
    <col min="5087" max="5087" width="8.875" style="363" bestFit="1" customWidth="1"/>
    <col min="5088" max="5088" width="2" style="363" customWidth="1"/>
    <col min="5089" max="5089" width="8.875" style="363" bestFit="1" customWidth="1"/>
    <col min="5090" max="5090" width="6.375" style="363" bestFit="1" customWidth="1"/>
    <col min="5091" max="5091" width="1.375" style="363" customWidth="1"/>
    <col min="5092" max="5092" width="8.5" style="363" bestFit="1" customWidth="1"/>
    <col min="5093" max="5093" width="6.375" style="363" bestFit="1" customWidth="1"/>
    <col min="5094" max="5094" width="1.75" style="363" customWidth="1"/>
    <col min="5095" max="5095" width="9.5" style="363" bestFit="1" customWidth="1"/>
    <col min="5096" max="5096" width="7" style="363" bestFit="1" customWidth="1"/>
    <col min="5097" max="5097" width="1.625" style="363" customWidth="1"/>
    <col min="5098" max="5098" width="7.25" style="363" bestFit="1" customWidth="1"/>
    <col min="5099" max="5099" width="2.625" style="363" customWidth="1"/>
    <col min="5100" max="5100" width="13.25" style="363" customWidth="1"/>
    <col min="5101" max="5101" width="6.375" style="363" bestFit="1" customWidth="1"/>
    <col min="5102" max="5102" width="1.75" style="363" customWidth="1"/>
    <col min="5103" max="5103" width="8.5" style="363"/>
    <col min="5104" max="5104" width="42.25" style="363" bestFit="1" customWidth="1"/>
    <col min="5105" max="5105" width="1.25" style="363" customWidth="1"/>
    <col min="5106" max="5106" width="11.625" style="363" customWidth="1"/>
    <col min="5107" max="5107" width="1.25" style="363" customWidth="1"/>
    <col min="5108" max="5108" width="9.625" style="363" customWidth="1"/>
    <col min="5109" max="5109" width="8.125" style="363" customWidth="1"/>
    <col min="5110" max="5110" width="1.25" style="363" customWidth="1"/>
    <col min="5111" max="5111" width="8.125" style="363" customWidth="1"/>
    <col min="5112" max="5112" width="1.625" style="363" customWidth="1"/>
    <col min="5113" max="5113" width="8" style="363" bestFit="1" customWidth="1"/>
    <col min="5114" max="5114" width="9.75" style="363" bestFit="1" customWidth="1"/>
    <col min="5115" max="5329" width="7" style="363" customWidth="1"/>
    <col min="5330" max="5330" width="20.75" style="363" customWidth="1"/>
    <col min="5331" max="5331" width="1.875" style="363" customWidth="1"/>
    <col min="5332" max="5332" width="14.25" style="363" customWidth="1"/>
    <col min="5333" max="5333" width="4.25" style="363" customWidth="1"/>
    <col min="5334" max="5334" width="8.875" style="363" bestFit="1" customWidth="1"/>
    <col min="5335" max="5335" width="6.375" style="363" bestFit="1" customWidth="1"/>
    <col min="5336" max="5336" width="2.125" style="363" customWidth="1"/>
    <col min="5337" max="5337" width="8.5" style="363" bestFit="1" customWidth="1"/>
    <col min="5338" max="5338" width="6.375" style="363" bestFit="1" customWidth="1"/>
    <col min="5339" max="5339" width="2.375" style="363" customWidth="1"/>
    <col min="5340" max="5340" width="9.5" style="363" bestFit="1" customWidth="1"/>
    <col min="5341" max="5341" width="7" style="363" bestFit="1" customWidth="1"/>
    <col min="5342" max="5342" width="1.75" style="363" customWidth="1"/>
    <col min="5343" max="5343" width="8.875" style="363" bestFit="1" customWidth="1"/>
    <col min="5344" max="5344" width="2" style="363" customWidth="1"/>
    <col min="5345" max="5345" width="8.875" style="363" bestFit="1" customWidth="1"/>
    <col min="5346" max="5346" width="6.375" style="363" bestFit="1" customWidth="1"/>
    <col min="5347" max="5347" width="1.375" style="363" customWidth="1"/>
    <col min="5348" max="5348" width="8.5" style="363" bestFit="1" customWidth="1"/>
    <col min="5349" max="5349" width="6.375" style="363" bestFit="1" customWidth="1"/>
    <col min="5350" max="5350" width="1.75" style="363" customWidth="1"/>
    <col min="5351" max="5351" width="9.5" style="363" bestFit="1" customWidth="1"/>
    <col min="5352" max="5352" width="7" style="363" bestFit="1" customWidth="1"/>
    <col min="5353" max="5353" width="1.625" style="363" customWidth="1"/>
    <col min="5354" max="5354" width="7.25" style="363" bestFit="1" customWidth="1"/>
    <col min="5355" max="5355" width="2.625" style="363" customWidth="1"/>
    <col min="5356" max="5356" width="13.25" style="363" customWidth="1"/>
    <col min="5357" max="5357" width="6.375" style="363" bestFit="1" customWidth="1"/>
    <col min="5358" max="5358" width="1.75" style="363" customWidth="1"/>
    <col min="5359" max="5359" width="8.5" style="363"/>
    <col min="5360" max="5360" width="42.25" style="363" bestFit="1" customWidth="1"/>
    <col min="5361" max="5361" width="1.25" style="363" customWidth="1"/>
    <col min="5362" max="5362" width="11.625" style="363" customWidth="1"/>
    <col min="5363" max="5363" width="1.25" style="363" customWidth="1"/>
    <col min="5364" max="5364" width="9.625" style="363" customWidth="1"/>
    <col min="5365" max="5365" width="8.125" style="363" customWidth="1"/>
    <col min="5366" max="5366" width="1.25" style="363" customWidth="1"/>
    <col min="5367" max="5367" width="8.125" style="363" customWidth="1"/>
    <col min="5368" max="5368" width="1.625" style="363" customWidth="1"/>
    <col min="5369" max="5369" width="8" style="363" bestFit="1" customWidth="1"/>
    <col min="5370" max="5370" width="9.75" style="363" bestFit="1" customWidth="1"/>
    <col min="5371" max="5585" width="7" style="363" customWidth="1"/>
    <col min="5586" max="5586" width="20.75" style="363" customWidth="1"/>
    <col min="5587" max="5587" width="1.875" style="363" customWidth="1"/>
    <col min="5588" max="5588" width="14.25" style="363" customWidth="1"/>
    <col min="5589" max="5589" width="4.25" style="363" customWidth="1"/>
    <col min="5590" max="5590" width="8.875" style="363" bestFit="1" customWidth="1"/>
    <col min="5591" max="5591" width="6.375" style="363" bestFit="1" customWidth="1"/>
    <col min="5592" max="5592" width="2.125" style="363" customWidth="1"/>
    <col min="5593" max="5593" width="8.5" style="363" bestFit="1" customWidth="1"/>
    <col min="5594" max="5594" width="6.375" style="363" bestFit="1" customWidth="1"/>
    <col min="5595" max="5595" width="2.375" style="363" customWidth="1"/>
    <col min="5596" max="5596" width="9.5" style="363" bestFit="1" customWidth="1"/>
    <col min="5597" max="5597" width="7" style="363" bestFit="1" customWidth="1"/>
    <col min="5598" max="5598" width="1.75" style="363" customWidth="1"/>
    <col min="5599" max="5599" width="8.875" style="363" bestFit="1" customWidth="1"/>
    <col min="5600" max="5600" width="2" style="363" customWidth="1"/>
    <col min="5601" max="5601" width="8.875" style="363" bestFit="1" customWidth="1"/>
    <col min="5602" max="5602" width="6.375" style="363" bestFit="1" customWidth="1"/>
    <col min="5603" max="5603" width="1.375" style="363" customWidth="1"/>
    <col min="5604" max="5604" width="8.5" style="363" bestFit="1" customWidth="1"/>
    <col min="5605" max="5605" width="6.375" style="363" bestFit="1" customWidth="1"/>
    <col min="5606" max="5606" width="1.75" style="363" customWidth="1"/>
    <col min="5607" max="5607" width="9.5" style="363" bestFit="1" customWidth="1"/>
    <col min="5608" max="5608" width="7" style="363" bestFit="1" customWidth="1"/>
    <col min="5609" max="5609" width="1.625" style="363" customWidth="1"/>
    <col min="5610" max="5610" width="7.25" style="363" bestFit="1" customWidth="1"/>
    <col min="5611" max="5611" width="2.625" style="363" customWidth="1"/>
    <col min="5612" max="5612" width="13.25" style="363" customWidth="1"/>
    <col min="5613" max="5613" width="6.375" style="363" bestFit="1" customWidth="1"/>
    <col min="5614" max="5614" width="1.75" style="363" customWidth="1"/>
    <col min="5615" max="5615" width="8.5" style="363"/>
    <col min="5616" max="5616" width="42.25" style="363" bestFit="1" customWidth="1"/>
    <col min="5617" max="5617" width="1.25" style="363" customWidth="1"/>
    <col min="5618" max="5618" width="11.625" style="363" customWidth="1"/>
    <col min="5619" max="5619" width="1.25" style="363" customWidth="1"/>
    <col min="5620" max="5620" width="9.625" style="363" customWidth="1"/>
    <col min="5621" max="5621" width="8.125" style="363" customWidth="1"/>
    <col min="5622" max="5622" width="1.25" style="363" customWidth="1"/>
    <col min="5623" max="5623" width="8.125" style="363" customWidth="1"/>
    <col min="5624" max="5624" width="1.625" style="363" customWidth="1"/>
    <col min="5625" max="5625" width="8" style="363" bestFit="1" customWidth="1"/>
    <col min="5626" max="5626" width="9.75" style="363" bestFit="1" customWidth="1"/>
    <col min="5627" max="5841" width="7" style="363" customWidth="1"/>
    <col min="5842" max="5842" width="20.75" style="363" customWidth="1"/>
    <col min="5843" max="5843" width="1.875" style="363" customWidth="1"/>
    <col min="5844" max="5844" width="14.25" style="363" customWidth="1"/>
    <col min="5845" max="5845" width="4.25" style="363" customWidth="1"/>
    <col min="5846" max="5846" width="8.875" style="363" bestFit="1" customWidth="1"/>
    <col min="5847" max="5847" width="6.375" style="363" bestFit="1" customWidth="1"/>
    <col min="5848" max="5848" width="2.125" style="363" customWidth="1"/>
    <col min="5849" max="5849" width="8.5" style="363" bestFit="1" customWidth="1"/>
    <col min="5850" max="5850" width="6.375" style="363" bestFit="1" customWidth="1"/>
    <col min="5851" max="5851" width="2.375" style="363" customWidth="1"/>
    <col min="5852" max="5852" width="9.5" style="363" bestFit="1" customWidth="1"/>
    <col min="5853" max="5853" width="7" style="363" bestFit="1" customWidth="1"/>
    <col min="5854" max="5854" width="1.75" style="363" customWidth="1"/>
    <col min="5855" max="5855" width="8.875" style="363" bestFit="1" customWidth="1"/>
    <col min="5856" max="5856" width="2" style="363" customWidth="1"/>
    <col min="5857" max="5857" width="8.875" style="363" bestFit="1" customWidth="1"/>
    <col min="5858" max="5858" width="6.375" style="363" bestFit="1" customWidth="1"/>
    <col min="5859" max="5859" width="1.375" style="363" customWidth="1"/>
    <col min="5860" max="5860" width="8.5" style="363" bestFit="1" customWidth="1"/>
    <col min="5861" max="5861" width="6.375" style="363" bestFit="1" customWidth="1"/>
    <col min="5862" max="5862" width="1.75" style="363" customWidth="1"/>
    <col min="5863" max="5863" width="9.5" style="363" bestFit="1" customWidth="1"/>
    <col min="5864" max="5864" width="7" style="363" bestFit="1" customWidth="1"/>
    <col min="5865" max="5865" width="1.625" style="363" customWidth="1"/>
    <col min="5866" max="5866" width="7.25" style="363" bestFit="1" customWidth="1"/>
    <col min="5867" max="5867" width="2.625" style="363" customWidth="1"/>
    <col min="5868" max="5868" width="13.25" style="363" customWidth="1"/>
    <col min="5869" max="5869" width="6.375" style="363" bestFit="1" customWidth="1"/>
    <col min="5870" max="5870" width="1.75" style="363" customWidth="1"/>
    <col min="5871" max="5871" width="8.5" style="363"/>
    <col min="5872" max="5872" width="42.25" style="363" bestFit="1" customWidth="1"/>
    <col min="5873" max="5873" width="1.25" style="363" customWidth="1"/>
    <col min="5874" max="5874" width="11.625" style="363" customWidth="1"/>
    <col min="5875" max="5875" width="1.25" style="363" customWidth="1"/>
    <col min="5876" max="5876" width="9.625" style="363" customWidth="1"/>
    <col min="5877" max="5877" width="8.125" style="363" customWidth="1"/>
    <col min="5878" max="5878" width="1.25" style="363" customWidth="1"/>
    <col min="5879" max="5879" width="8.125" style="363" customWidth="1"/>
    <col min="5880" max="5880" width="1.625" style="363" customWidth="1"/>
    <col min="5881" max="5881" width="8" style="363" bestFit="1" customWidth="1"/>
    <col min="5882" max="5882" width="9.75" style="363" bestFit="1" customWidth="1"/>
    <col min="5883" max="6097" width="7" style="363" customWidth="1"/>
    <col min="6098" max="6098" width="20.75" style="363" customWidth="1"/>
    <col min="6099" max="6099" width="1.875" style="363" customWidth="1"/>
    <col min="6100" max="6100" width="14.25" style="363" customWidth="1"/>
    <col min="6101" max="6101" width="4.25" style="363" customWidth="1"/>
    <col min="6102" max="6102" width="8.875" style="363" bestFit="1" customWidth="1"/>
    <col min="6103" max="6103" width="6.375" style="363" bestFit="1" customWidth="1"/>
    <col min="6104" max="6104" width="2.125" style="363" customWidth="1"/>
    <col min="6105" max="6105" width="8.5" style="363" bestFit="1" customWidth="1"/>
    <col min="6106" max="6106" width="6.375" style="363" bestFit="1" customWidth="1"/>
    <col min="6107" max="6107" width="2.375" style="363" customWidth="1"/>
    <col min="6108" max="6108" width="9.5" style="363" bestFit="1" customWidth="1"/>
    <col min="6109" max="6109" width="7" style="363" bestFit="1" customWidth="1"/>
    <col min="6110" max="6110" width="1.75" style="363" customWidth="1"/>
    <col min="6111" max="6111" width="8.875" style="363" bestFit="1" customWidth="1"/>
    <col min="6112" max="6112" width="2" style="363" customWidth="1"/>
    <col min="6113" max="6113" width="8.875" style="363" bestFit="1" customWidth="1"/>
    <col min="6114" max="6114" width="6.375" style="363" bestFit="1" customWidth="1"/>
    <col min="6115" max="6115" width="1.375" style="363" customWidth="1"/>
    <col min="6116" max="6116" width="8.5" style="363" bestFit="1" customWidth="1"/>
    <col min="6117" max="6117" width="6.375" style="363" bestFit="1" customWidth="1"/>
    <col min="6118" max="6118" width="1.75" style="363" customWidth="1"/>
    <col min="6119" max="6119" width="9.5" style="363" bestFit="1" customWidth="1"/>
    <col min="6120" max="6120" width="7" style="363" bestFit="1" customWidth="1"/>
    <col min="6121" max="6121" width="1.625" style="363" customWidth="1"/>
    <col min="6122" max="6122" width="7.25" style="363" bestFit="1" customWidth="1"/>
    <col min="6123" max="6123" width="2.625" style="363" customWidth="1"/>
    <col min="6124" max="6124" width="13.25" style="363" customWidth="1"/>
    <col min="6125" max="6125" width="6.375" style="363" bestFit="1" customWidth="1"/>
    <col min="6126" max="6126" width="1.75" style="363" customWidth="1"/>
    <col min="6127" max="6127" width="8.5" style="363"/>
    <col min="6128" max="6128" width="42.25" style="363" bestFit="1" customWidth="1"/>
    <col min="6129" max="6129" width="1.25" style="363" customWidth="1"/>
    <col min="6130" max="6130" width="11.625" style="363" customWidth="1"/>
    <col min="6131" max="6131" width="1.25" style="363" customWidth="1"/>
    <col min="6132" max="6132" width="9.625" style="363" customWidth="1"/>
    <col min="6133" max="6133" width="8.125" style="363" customWidth="1"/>
    <col min="6134" max="6134" width="1.25" style="363" customWidth="1"/>
    <col min="6135" max="6135" width="8.125" style="363" customWidth="1"/>
    <col min="6136" max="6136" width="1.625" style="363" customWidth="1"/>
    <col min="6137" max="6137" width="8" style="363" bestFit="1" customWidth="1"/>
    <col min="6138" max="6138" width="9.75" style="363" bestFit="1" customWidth="1"/>
    <col min="6139" max="6353" width="7" style="363" customWidth="1"/>
    <col min="6354" max="6354" width="20.75" style="363" customWidth="1"/>
    <col min="6355" max="6355" width="1.875" style="363" customWidth="1"/>
    <col min="6356" max="6356" width="14.25" style="363" customWidth="1"/>
    <col min="6357" max="6357" width="4.25" style="363" customWidth="1"/>
    <col min="6358" max="6358" width="8.875" style="363" bestFit="1" customWidth="1"/>
    <col min="6359" max="6359" width="6.375" style="363" bestFit="1" customWidth="1"/>
    <col min="6360" max="6360" width="2.125" style="363" customWidth="1"/>
    <col min="6361" max="6361" width="8.5" style="363" bestFit="1" customWidth="1"/>
    <col min="6362" max="6362" width="6.375" style="363" bestFit="1" customWidth="1"/>
    <col min="6363" max="6363" width="2.375" style="363" customWidth="1"/>
    <col min="6364" max="6364" width="9.5" style="363" bestFit="1" customWidth="1"/>
    <col min="6365" max="6365" width="7" style="363" bestFit="1" customWidth="1"/>
    <col min="6366" max="6366" width="1.75" style="363" customWidth="1"/>
    <col min="6367" max="6367" width="8.875" style="363" bestFit="1" customWidth="1"/>
    <col min="6368" max="6368" width="2" style="363" customWidth="1"/>
    <col min="6369" max="6369" width="8.875" style="363" bestFit="1" customWidth="1"/>
    <col min="6370" max="6370" width="6.375" style="363" bestFit="1" customWidth="1"/>
    <col min="6371" max="6371" width="1.375" style="363" customWidth="1"/>
    <col min="6372" max="6372" width="8.5" style="363" bestFit="1" customWidth="1"/>
    <col min="6373" max="6373" width="6.375" style="363" bestFit="1" customWidth="1"/>
    <col min="6374" max="6374" width="1.75" style="363" customWidth="1"/>
    <col min="6375" max="6375" width="9.5" style="363" bestFit="1" customWidth="1"/>
    <col min="6376" max="6376" width="7" style="363" bestFit="1" customWidth="1"/>
    <col min="6377" max="6377" width="1.625" style="363" customWidth="1"/>
    <col min="6378" max="6378" width="7.25" style="363" bestFit="1" customWidth="1"/>
    <col min="6379" max="6379" width="2.625" style="363" customWidth="1"/>
    <col min="6380" max="6380" width="13.25" style="363" customWidth="1"/>
    <col min="6381" max="6381" width="6.375" style="363" bestFit="1" customWidth="1"/>
    <col min="6382" max="6382" width="1.75" style="363" customWidth="1"/>
    <col min="6383" max="6383" width="8.5" style="363"/>
    <col min="6384" max="6384" width="42.25" style="363" bestFit="1" customWidth="1"/>
    <col min="6385" max="6385" width="1.25" style="363" customWidth="1"/>
    <col min="6386" max="6386" width="11.625" style="363" customWidth="1"/>
    <col min="6387" max="6387" width="1.25" style="363" customWidth="1"/>
    <col min="6388" max="6388" width="9.625" style="363" customWidth="1"/>
    <col min="6389" max="6389" width="8.125" style="363" customWidth="1"/>
    <col min="6390" max="6390" width="1.25" style="363" customWidth="1"/>
    <col min="6391" max="6391" width="8.125" style="363" customWidth="1"/>
    <col min="6392" max="6392" width="1.625" style="363" customWidth="1"/>
    <col min="6393" max="6393" width="8" style="363" bestFit="1" customWidth="1"/>
    <col min="6394" max="6394" width="9.75" style="363" bestFit="1" customWidth="1"/>
    <col min="6395" max="6609" width="7" style="363" customWidth="1"/>
    <col min="6610" max="6610" width="20.75" style="363" customWidth="1"/>
    <col min="6611" max="6611" width="1.875" style="363" customWidth="1"/>
    <col min="6612" max="6612" width="14.25" style="363" customWidth="1"/>
    <col min="6613" max="6613" width="4.25" style="363" customWidth="1"/>
    <col min="6614" max="6614" width="8.875" style="363" bestFit="1" customWidth="1"/>
    <col min="6615" max="6615" width="6.375" style="363" bestFit="1" customWidth="1"/>
    <col min="6616" max="6616" width="2.125" style="363" customWidth="1"/>
    <col min="6617" max="6617" width="8.5" style="363" bestFit="1" customWidth="1"/>
    <col min="6618" max="6618" width="6.375" style="363" bestFit="1" customWidth="1"/>
    <col min="6619" max="6619" width="2.375" style="363" customWidth="1"/>
    <col min="6620" max="6620" width="9.5" style="363" bestFit="1" customWidth="1"/>
    <col min="6621" max="6621" width="7" style="363" bestFit="1" customWidth="1"/>
    <col min="6622" max="6622" width="1.75" style="363" customWidth="1"/>
    <col min="6623" max="6623" width="8.875" style="363" bestFit="1" customWidth="1"/>
    <col min="6624" max="6624" width="2" style="363" customWidth="1"/>
    <col min="6625" max="6625" width="8.875" style="363" bestFit="1" customWidth="1"/>
    <col min="6626" max="6626" width="6.375" style="363" bestFit="1" customWidth="1"/>
    <col min="6627" max="6627" width="1.375" style="363" customWidth="1"/>
    <col min="6628" max="6628" width="8.5" style="363" bestFit="1" customWidth="1"/>
    <col min="6629" max="6629" width="6.375" style="363" bestFit="1" customWidth="1"/>
    <col min="6630" max="6630" width="1.75" style="363" customWidth="1"/>
    <col min="6631" max="6631" width="9.5" style="363" bestFit="1" customWidth="1"/>
    <col min="6632" max="6632" width="7" style="363" bestFit="1" customWidth="1"/>
    <col min="6633" max="6633" width="1.625" style="363" customWidth="1"/>
    <col min="6634" max="6634" width="7.25" style="363" bestFit="1" customWidth="1"/>
    <col min="6635" max="6635" width="2.625" style="363" customWidth="1"/>
    <col min="6636" max="6636" width="13.25" style="363" customWidth="1"/>
    <col min="6637" max="6637" width="6.375" style="363" bestFit="1" customWidth="1"/>
    <col min="6638" max="6638" width="1.75" style="363" customWidth="1"/>
    <col min="6639" max="6639" width="8.5" style="363"/>
    <col min="6640" max="6640" width="42.25" style="363" bestFit="1" customWidth="1"/>
    <col min="6641" max="6641" width="1.25" style="363" customWidth="1"/>
    <col min="6642" max="6642" width="11.625" style="363" customWidth="1"/>
    <col min="6643" max="6643" width="1.25" style="363" customWidth="1"/>
    <col min="6644" max="6644" width="9.625" style="363" customWidth="1"/>
    <col min="6645" max="6645" width="8.125" style="363" customWidth="1"/>
    <col min="6646" max="6646" width="1.25" style="363" customWidth="1"/>
    <col min="6647" max="6647" width="8.125" style="363" customWidth="1"/>
    <col min="6648" max="6648" width="1.625" style="363" customWidth="1"/>
    <col min="6649" max="6649" width="8" style="363" bestFit="1" customWidth="1"/>
    <col min="6650" max="6650" width="9.75" style="363" bestFit="1" customWidth="1"/>
    <col min="6651" max="6865" width="7" style="363" customWidth="1"/>
    <col min="6866" max="6866" width="20.75" style="363" customWidth="1"/>
    <col min="6867" max="6867" width="1.875" style="363" customWidth="1"/>
    <col min="6868" max="6868" width="14.25" style="363" customWidth="1"/>
    <col min="6869" max="6869" width="4.25" style="363" customWidth="1"/>
    <col min="6870" max="6870" width="8.875" style="363" bestFit="1" customWidth="1"/>
    <col min="6871" max="6871" width="6.375" style="363" bestFit="1" customWidth="1"/>
    <col min="6872" max="6872" width="2.125" style="363" customWidth="1"/>
    <col min="6873" max="6873" width="8.5" style="363" bestFit="1" customWidth="1"/>
    <col min="6874" max="6874" width="6.375" style="363" bestFit="1" customWidth="1"/>
    <col min="6875" max="6875" width="2.375" style="363" customWidth="1"/>
    <col min="6876" max="6876" width="9.5" style="363" bestFit="1" customWidth="1"/>
    <col min="6877" max="6877" width="7" style="363" bestFit="1" customWidth="1"/>
    <col min="6878" max="6878" width="1.75" style="363" customWidth="1"/>
    <col min="6879" max="6879" width="8.875" style="363" bestFit="1" customWidth="1"/>
    <col min="6880" max="6880" width="2" style="363" customWidth="1"/>
    <col min="6881" max="6881" width="8.875" style="363" bestFit="1" customWidth="1"/>
    <col min="6882" max="6882" width="6.375" style="363" bestFit="1" customWidth="1"/>
    <col min="6883" max="6883" width="1.375" style="363" customWidth="1"/>
    <col min="6884" max="6884" width="8.5" style="363" bestFit="1" customWidth="1"/>
    <col min="6885" max="6885" width="6.375" style="363" bestFit="1" customWidth="1"/>
    <col min="6886" max="6886" width="1.75" style="363" customWidth="1"/>
    <col min="6887" max="6887" width="9.5" style="363" bestFit="1" customWidth="1"/>
    <col min="6888" max="6888" width="7" style="363" bestFit="1" customWidth="1"/>
    <col min="6889" max="6889" width="1.625" style="363" customWidth="1"/>
    <col min="6890" max="6890" width="7.25" style="363" bestFit="1" customWidth="1"/>
    <col min="6891" max="6891" width="2.625" style="363" customWidth="1"/>
    <col min="6892" max="6892" width="13.25" style="363" customWidth="1"/>
    <col min="6893" max="6893" width="6.375" style="363" bestFit="1" customWidth="1"/>
    <col min="6894" max="6894" width="1.75" style="363" customWidth="1"/>
    <col min="6895" max="6895" width="8.5" style="363"/>
    <col min="6896" max="6896" width="42.25" style="363" bestFit="1" customWidth="1"/>
    <col min="6897" max="6897" width="1.25" style="363" customWidth="1"/>
    <col min="6898" max="6898" width="11.625" style="363" customWidth="1"/>
    <col min="6899" max="6899" width="1.25" style="363" customWidth="1"/>
    <col min="6900" max="6900" width="9.625" style="363" customWidth="1"/>
    <col min="6901" max="6901" width="8.125" style="363" customWidth="1"/>
    <col min="6902" max="6902" width="1.25" style="363" customWidth="1"/>
    <col min="6903" max="6903" width="8.125" style="363" customWidth="1"/>
    <col min="6904" max="6904" width="1.625" style="363" customWidth="1"/>
    <col min="6905" max="6905" width="8" style="363" bestFit="1" customWidth="1"/>
    <col min="6906" max="6906" width="9.75" style="363" bestFit="1" customWidth="1"/>
    <col min="6907" max="7121" width="7" style="363" customWidth="1"/>
    <col min="7122" max="7122" width="20.75" style="363" customWidth="1"/>
    <col min="7123" max="7123" width="1.875" style="363" customWidth="1"/>
    <col min="7124" max="7124" width="14.25" style="363" customWidth="1"/>
    <col min="7125" max="7125" width="4.25" style="363" customWidth="1"/>
    <col min="7126" max="7126" width="8.875" style="363" bestFit="1" customWidth="1"/>
    <col min="7127" max="7127" width="6.375" style="363" bestFit="1" customWidth="1"/>
    <col min="7128" max="7128" width="2.125" style="363" customWidth="1"/>
    <col min="7129" max="7129" width="8.5" style="363" bestFit="1" customWidth="1"/>
    <col min="7130" max="7130" width="6.375" style="363" bestFit="1" customWidth="1"/>
    <col min="7131" max="7131" width="2.375" style="363" customWidth="1"/>
    <col min="7132" max="7132" width="9.5" style="363" bestFit="1" customWidth="1"/>
    <col min="7133" max="7133" width="7" style="363" bestFit="1" customWidth="1"/>
    <col min="7134" max="7134" width="1.75" style="363" customWidth="1"/>
    <col min="7135" max="7135" width="8.875" style="363" bestFit="1" customWidth="1"/>
    <col min="7136" max="7136" width="2" style="363" customWidth="1"/>
    <col min="7137" max="7137" width="8.875" style="363" bestFit="1" customWidth="1"/>
    <col min="7138" max="7138" width="6.375" style="363" bestFit="1" customWidth="1"/>
    <col min="7139" max="7139" width="1.375" style="363" customWidth="1"/>
    <col min="7140" max="7140" width="8.5" style="363" bestFit="1" customWidth="1"/>
    <col min="7141" max="7141" width="6.375" style="363" bestFit="1" customWidth="1"/>
    <col min="7142" max="7142" width="1.75" style="363" customWidth="1"/>
    <col min="7143" max="7143" width="9.5" style="363" bestFit="1" customWidth="1"/>
    <col min="7144" max="7144" width="7" style="363" bestFit="1" customWidth="1"/>
    <col min="7145" max="7145" width="1.625" style="363" customWidth="1"/>
    <col min="7146" max="7146" width="7.25" style="363" bestFit="1" customWidth="1"/>
    <col min="7147" max="7147" width="2.625" style="363" customWidth="1"/>
    <col min="7148" max="7148" width="13.25" style="363" customWidth="1"/>
    <col min="7149" max="7149" width="6.375" style="363" bestFit="1" customWidth="1"/>
    <col min="7150" max="7150" width="1.75" style="363" customWidth="1"/>
    <col min="7151" max="7151" width="8.5" style="363"/>
    <col min="7152" max="7152" width="42.25" style="363" bestFit="1" customWidth="1"/>
    <col min="7153" max="7153" width="1.25" style="363" customWidth="1"/>
    <col min="7154" max="7154" width="11.625" style="363" customWidth="1"/>
    <col min="7155" max="7155" width="1.25" style="363" customWidth="1"/>
    <col min="7156" max="7156" width="9.625" style="363" customWidth="1"/>
    <col min="7157" max="7157" width="8.125" style="363" customWidth="1"/>
    <col min="7158" max="7158" width="1.25" style="363" customWidth="1"/>
    <col min="7159" max="7159" width="8.125" style="363" customWidth="1"/>
    <col min="7160" max="7160" width="1.625" style="363" customWidth="1"/>
    <col min="7161" max="7161" width="8" style="363" bestFit="1" customWidth="1"/>
    <col min="7162" max="7162" width="9.75" style="363" bestFit="1" customWidth="1"/>
    <col min="7163" max="7377" width="7" style="363" customWidth="1"/>
    <col min="7378" max="7378" width="20.75" style="363" customWidth="1"/>
    <col min="7379" max="7379" width="1.875" style="363" customWidth="1"/>
    <col min="7380" max="7380" width="14.25" style="363" customWidth="1"/>
    <col min="7381" max="7381" width="4.25" style="363" customWidth="1"/>
    <col min="7382" max="7382" width="8.875" style="363" bestFit="1" customWidth="1"/>
    <col min="7383" max="7383" width="6.375" style="363" bestFit="1" customWidth="1"/>
    <col min="7384" max="7384" width="2.125" style="363" customWidth="1"/>
    <col min="7385" max="7385" width="8.5" style="363" bestFit="1" customWidth="1"/>
    <col min="7386" max="7386" width="6.375" style="363" bestFit="1" customWidth="1"/>
    <col min="7387" max="7387" width="2.375" style="363" customWidth="1"/>
    <col min="7388" max="7388" width="9.5" style="363" bestFit="1" customWidth="1"/>
    <col min="7389" max="7389" width="7" style="363" bestFit="1" customWidth="1"/>
    <col min="7390" max="7390" width="1.75" style="363" customWidth="1"/>
    <col min="7391" max="7391" width="8.875" style="363" bestFit="1" customWidth="1"/>
    <col min="7392" max="7392" width="2" style="363" customWidth="1"/>
    <col min="7393" max="7393" width="8.875" style="363" bestFit="1" customWidth="1"/>
    <col min="7394" max="7394" width="6.375" style="363" bestFit="1" customWidth="1"/>
    <col min="7395" max="7395" width="1.375" style="363" customWidth="1"/>
    <col min="7396" max="7396" width="8.5" style="363" bestFit="1" customWidth="1"/>
    <col min="7397" max="7397" width="6.375" style="363" bestFit="1" customWidth="1"/>
    <col min="7398" max="7398" width="1.75" style="363" customWidth="1"/>
    <col min="7399" max="7399" width="9.5" style="363" bestFit="1" customWidth="1"/>
    <col min="7400" max="7400" width="7" style="363" bestFit="1" customWidth="1"/>
    <col min="7401" max="7401" width="1.625" style="363" customWidth="1"/>
    <col min="7402" max="7402" width="7.25" style="363" bestFit="1" customWidth="1"/>
    <col min="7403" max="7403" width="2.625" style="363" customWidth="1"/>
    <col min="7404" max="7404" width="13.25" style="363" customWidth="1"/>
    <col min="7405" max="7405" width="6.375" style="363" bestFit="1" customWidth="1"/>
    <col min="7406" max="7406" width="1.75" style="363" customWidth="1"/>
    <col min="7407" max="7407" width="8.5" style="363"/>
    <col min="7408" max="7408" width="42.25" style="363" bestFit="1" customWidth="1"/>
    <col min="7409" max="7409" width="1.25" style="363" customWidth="1"/>
    <col min="7410" max="7410" width="11.625" style="363" customWidth="1"/>
    <col min="7411" max="7411" width="1.25" style="363" customWidth="1"/>
    <col min="7412" max="7412" width="9.625" style="363" customWidth="1"/>
    <col min="7413" max="7413" width="8.125" style="363" customWidth="1"/>
    <col min="7414" max="7414" width="1.25" style="363" customWidth="1"/>
    <col min="7415" max="7415" width="8.125" style="363" customWidth="1"/>
    <col min="7416" max="7416" width="1.625" style="363" customWidth="1"/>
    <col min="7417" max="7417" width="8" style="363" bestFit="1" customWidth="1"/>
    <col min="7418" max="7418" width="9.75" style="363" bestFit="1" customWidth="1"/>
    <col min="7419" max="7633" width="7" style="363" customWidth="1"/>
    <col min="7634" max="7634" width="20.75" style="363" customWidth="1"/>
    <col min="7635" max="7635" width="1.875" style="363" customWidth="1"/>
    <col min="7636" max="7636" width="14.25" style="363" customWidth="1"/>
    <col min="7637" max="7637" width="4.25" style="363" customWidth="1"/>
    <col min="7638" max="7638" width="8.875" style="363" bestFit="1" customWidth="1"/>
    <col min="7639" max="7639" width="6.375" style="363" bestFit="1" customWidth="1"/>
    <col min="7640" max="7640" width="2.125" style="363" customWidth="1"/>
    <col min="7641" max="7641" width="8.5" style="363" bestFit="1" customWidth="1"/>
    <col min="7642" max="7642" width="6.375" style="363" bestFit="1" customWidth="1"/>
    <col min="7643" max="7643" width="2.375" style="363" customWidth="1"/>
    <col min="7644" max="7644" width="9.5" style="363" bestFit="1" customWidth="1"/>
    <col min="7645" max="7645" width="7" style="363" bestFit="1" customWidth="1"/>
    <col min="7646" max="7646" width="1.75" style="363" customWidth="1"/>
    <col min="7647" max="7647" width="8.875" style="363" bestFit="1" customWidth="1"/>
    <col min="7648" max="7648" width="2" style="363" customWidth="1"/>
    <col min="7649" max="7649" width="8.875" style="363" bestFit="1" customWidth="1"/>
    <col min="7650" max="7650" width="6.375" style="363" bestFit="1" customWidth="1"/>
    <col min="7651" max="7651" width="1.375" style="363" customWidth="1"/>
    <col min="7652" max="7652" width="8.5" style="363" bestFit="1" customWidth="1"/>
    <col min="7653" max="7653" width="6.375" style="363" bestFit="1" customWidth="1"/>
    <col min="7654" max="7654" width="1.75" style="363" customWidth="1"/>
    <col min="7655" max="7655" width="9.5" style="363" bestFit="1" customWidth="1"/>
    <col min="7656" max="7656" width="7" style="363" bestFit="1" customWidth="1"/>
    <col min="7657" max="7657" width="1.625" style="363" customWidth="1"/>
    <col min="7658" max="7658" width="7.25" style="363" bestFit="1" customWidth="1"/>
    <col min="7659" max="7659" width="2.625" style="363" customWidth="1"/>
    <col min="7660" max="7660" width="13.25" style="363" customWidth="1"/>
    <col min="7661" max="7661" width="6.375" style="363" bestFit="1" customWidth="1"/>
    <col min="7662" max="7662" width="1.75" style="363" customWidth="1"/>
    <col min="7663" max="7663" width="8.5" style="363"/>
    <col min="7664" max="7664" width="42.25" style="363" bestFit="1" customWidth="1"/>
    <col min="7665" max="7665" width="1.25" style="363" customWidth="1"/>
    <col min="7666" max="7666" width="11.625" style="363" customWidth="1"/>
    <col min="7667" max="7667" width="1.25" style="363" customWidth="1"/>
    <col min="7668" max="7668" width="9.625" style="363" customWidth="1"/>
    <col min="7669" max="7669" width="8.125" style="363" customWidth="1"/>
    <col min="7670" max="7670" width="1.25" style="363" customWidth="1"/>
    <col min="7671" max="7671" width="8.125" style="363" customWidth="1"/>
    <col min="7672" max="7672" width="1.625" style="363" customWidth="1"/>
    <col min="7673" max="7673" width="8" style="363" bestFit="1" customWidth="1"/>
    <col min="7674" max="7674" width="9.75" style="363" bestFit="1" customWidth="1"/>
    <col min="7675" max="7889" width="7" style="363" customWidth="1"/>
    <col min="7890" max="7890" width="20.75" style="363" customWidth="1"/>
    <col min="7891" max="7891" width="1.875" style="363" customWidth="1"/>
    <col min="7892" max="7892" width="14.25" style="363" customWidth="1"/>
    <col min="7893" max="7893" width="4.25" style="363" customWidth="1"/>
    <col min="7894" max="7894" width="8.875" style="363" bestFit="1" customWidth="1"/>
    <col min="7895" max="7895" width="6.375" style="363" bestFit="1" customWidth="1"/>
    <col min="7896" max="7896" width="2.125" style="363" customWidth="1"/>
    <col min="7897" max="7897" width="8.5" style="363" bestFit="1" customWidth="1"/>
    <col min="7898" max="7898" width="6.375" style="363" bestFit="1" customWidth="1"/>
    <col min="7899" max="7899" width="2.375" style="363" customWidth="1"/>
    <col min="7900" max="7900" width="9.5" style="363" bestFit="1" customWidth="1"/>
    <col min="7901" max="7901" width="7" style="363" bestFit="1" customWidth="1"/>
    <col min="7902" max="7902" width="1.75" style="363" customWidth="1"/>
    <col min="7903" max="7903" width="8.875" style="363" bestFit="1" customWidth="1"/>
    <col min="7904" max="7904" width="2" style="363" customWidth="1"/>
    <col min="7905" max="7905" width="8.875" style="363" bestFit="1" customWidth="1"/>
    <col min="7906" max="7906" width="6.375" style="363" bestFit="1" customWidth="1"/>
    <col min="7907" max="7907" width="1.375" style="363" customWidth="1"/>
    <col min="7908" max="7908" width="8.5" style="363" bestFit="1" customWidth="1"/>
    <col min="7909" max="7909" width="6.375" style="363" bestFit="1" customWidth="1"/>
    <col min="7910" max="7910" width="1.75" style="363" customWidth="1"/>
    <col min="7911" max="7911" width="9.5" style="363" bestFit="1" customWidth="1"/>
    <col min="7912" max="7912" width="7" style="363" bestFit="1" customWidth="1"/>
    <col min="7913" max="7913" width="1.625" style="363" customWidth="1"/>
    <col min="7914" max="7914" width="7.25" style="363" bestFit="1" customWidth="1"/>
    <col min="7915" max="7915" width="2.625" style="363" customWidth="1"/>
    <col min="7916" max="7916" width="13.25" style="363" customWidth="1"/>
    <col min="7917" max="7917" width="6.375" style="363" bestFit="1" customWidth="1"/>
    <col min="7918" max="7918" width="1.75" style="363" customWidth="1"/>
    <col min="7919" max="7919" width="8.5" style="363"/>
    <col min="7920" max="7920" width="42.25" style="363" bestFit="1" customWidth="1"/>
    <col min="7921" max="7921" width="1.25" style="363" customWidth="1"/>
    <col min="7922" max="7922" width="11.625" style="363" customWidth="1"/>
    <col min="7923" max="7923" width="1.25" style="363" customWidth="1"/>
    <col min="7924" max="7924" width="9.625" style="363" customWidth="1"/>
    <col min="7925" max="7925" width="8.125" style="363" customWidth="1"/>
    <col min="7926" max="7926" width="1.25" style="363" customWidth="1"/>
    <col min="7927" max="7927" width="8.125" style="363" customWidth="1"/>
    <col min="7928" max="7928" width="1.625" style="363" customWidth="1"/>
    <col min="7929" max="7929" width="8" style="363" bestFit="1" customWidth="1"/>
    <col min="7930" max="7930" width="9.75" style="363" bestFit="1" customWidth="1"/>
    <col min="7931" max="8145" width="7" style="363" customWidth="1"/>
    <col min="8146" max="8146" width="20.75" style="363" customWidth="1"/>
    <col min="8147" max="8147" width="1.875" style="363" customWidth="1"/>
    <col min="8148" max="8148" width="14.25" style="363" customWidth="1"/>
    <col min="8149" max="8149" width="4.25" style="363" customWidth="1"/>
    <col min="8150" max="8150" width="8.875" style="363" bestFit="1" customWidth="1"/>
    <col min="8151" max="8151" width="6.375" style="363" bestFit="1" customWidth="1"/>
    <col min="8152" max="8152" width="2.125" style="363" customWidth="1"/>
    <col min="8153" max="8153" width="8.5" style="363" bestFit="1" customWidth="1"/>
    <col min="8154" max="8154" width="6.375" style="363" bestFit="1" customWidth="1"/>
    <col min="8155" max="8155" width="2.375" style="363" customWidth="1"/>
    <col min="8156" max="8156" width="9.5" style="363" bestFit="1" customWidth="1"/>
    <col min="8157" max="8157" width="7" style="363" bestFit="1" customWidth="1"/>
    <col min="8158" max="8158" width="1.75" style="363" customWidth="1"/>
    <col min="8159" max="8159" width="8.875" style="363" bestFit="1" customWidth="1"/>
    <col min="8160" max="8160" width="2" style="363" customWidth="1"/>
    <col min="8161" max="8161" width="8.875" style="363" bestFit="1" customWidth="1"/>
    <col min="8162" max="8162" width="6.375" style="363" bestFit="1" customWidth="1"/>
    <col min="8163" max="8163" width="1.375" style="363" customWidth="1"/>
    <col min="8164" max="8164" width="8.5" style="363" bestFit="1" customWidth="1"/>
    <col min="8165" max="8165" width="6.375" style="363" bestFit="1" customWidth="1"/>
    <col min="8166" max="8166" width="1.75" style="363" customWidth="1"/>
    <col min="8167" max="8167" width="9.5" style="363" bestFit="1" customWidth="1"/>
    <col min="8168" max="8168" width="7" style="363" bestFit="1" customWidth="1"/>
    <col min="8169" max="8169" width="1.625" style="363" customWidth="1"/>
    <col min="8170" max="8170" width="7.25" style="363" bestFit="1" customWidth="1"/>
    <col min="8171" max="8171" width="2.625" style="363" customWidth="1"/>
    <col min="8172" max="8172" width="13.25" style="363" customWidth="1"/>
    <col min="8173" max="8173" width="6.375" style="363" bestFit="1" customWidth="1"/>
    <col min="8174" max="8174" width="1.75" style="363" customWidth="1"/>
    <col min="8175" max="8175" width="8.5" style="363"/>
    <col min="8176" max="8176" width="42.25" style="363" bestFit="1" customWidth="1"/>
    <col min="8177" max="8177" width="1.25" style="363" customWidth="1"/>
    <col min="8178" max="8178" width="11.625" style="363" customWidth="1"/>
    <col min="8179" max="8179" width="1.25" style="363" customWidth="1"/>
    <col min="8180" max="8180" width="9.625" style="363" customWidth="1"/>
    <col min="8181" max="8181" width="8.125" style="363" customWidth="1"/>
    <col min="8182" max="8182" width="1.25" style="363" customWidth="1"/>
    <col min="8183" max="8183" width="8.125" style="363" customWidth="1"/>
    <col min="8184" max="8184" width="1.625" style="363" customWidth="1"/>
    <col min="8185" max="8185" width="8" style="363" bestFit="1" customWidth="1"/>
    <col min="8186" max="8186" width="9.75" style="363" bestFit="1" customWidth="1"/>
    <col min="8187" max="8401" width="7" style="363" customWidth="1"/>
    <col min="8402" max="8402" width="20.75" style="363" customWidth="1"/>
    <col min="8403" max="8403" width="1.875" style="363" customWidth="1"/>
    <col min="8404" max="8404" width="14.25" style="363" customWidth="1"/>
    <col min="8405" max="8405" width="4.25" style="363" customWidth="1"/>
    <col min="8406" max="8406" width="8.875" style="363" bestFit="1" customWidth="1"/>
    <col min="8407" max="8407" width="6.375" style="363" bestFit="1" customWidth="1"/>
    <col min="8408" max="8408" width="2.125" style="363" customWidth="1"/>
    <col min="8409" max="8409" width="8.5" style="363" bestFit="1" customWidth="1"/>
    <col min="8410" max="8410" width="6.375" style="363" bestFit="1" customWidth="1"/>
    <col min="8411" max="8411" width="2.375" style="363" customWidth="1"/>
    <col min="8412" max="8412" width="9.5" style="363" bestFit="1" customWidth="1"/>
    <col min="8413" max="8413" width="7" style="363" bestFit="1" customWidth="1"/>
    <col min="8414" max="8414" width="1.75" style="363" customWidth="1"/>
    <col min="8415" max="8415" width="8.875" style="363" bestFit="1" customWidth="1"/>
    <col min="8416" max="8416" width="2" style="363" customWidth="1"/>
    <col min="8417" max="8417" width="8.875" style="363" bestFit="1" customWidth="1"/>
    <col min="8418" max="8418" width="6.375" style="363" bestFit="1" customWidth="1"/>
    <col min="8419" max="8419" width="1.375" style="363" customWidth="1"/>
    <col min="8420" max="8420" width="8.5" style="363" bestFit="1" customWidth="1"/>
    <col min="8421" max="8421" width="6.375" style="363" bestFit="1" customWidth="1"/>
    <col min="8422" max="8422" width="1.75" style="363" customWidth="1"/>
    <col min="8423" max="8423" width="9.5" style="363" bestFit="1" customWidth="1"/>
    <col min="8424" max="8424" width="7" style="363" bestFit="1" customWidth="1"/>
    <col min="8425" max="8425" width="1.625" style="363" customWidth="1"/>
    <col min="8426" max="8426" width="7.25" style="363" bestFit="1" customWidth="1"/>
    <col min="8427" max="8427" width="2.625" style="363" customWidth="1"/>
    <col min="8428" max="8428" width="13.25" style="363" customWidth="1"/>
    <col min="8429" max="8429" width="6.375" style="363" bestFit="1" customWidth="1"/>
    <col min="8430" max="8430" width="1.75" style="363" customWidth="1"/>
    <col min="8431" max="8431" width="8.5" style="363"/>
    <col min="8432" max="8432" width="42.25" style="363" bestFit="1" customWidth="1"/>
    <col min="8433" max="8433" width="1.25" style="363" customWidth="1"/>
    <col min="8434" max="8434" width="11.625" style="363" customWidth="1"/>
    <col min="8435" max="8435" width="1.25" style="363" customWidth="1"/>
    <col min="8436" max="8436" width="9.625" style="363" customWidth="1"/>
    <col min="8437" max="8437" width="8.125" style="363" customWidth="1"/>
    <col min="8438" max="8438" width="1.25" style="363" customWidth="1"/>
    <col min="8439" max="8439" width="8.125" style="363" customWidth="1"/>
    <col min="8440" max="8440" width="1.625" style="363" customWidth="1"/>
    <col min="8441" max="8441" width="8" style="363" bestFit="1" customWidth="1"/>
    <col min="8442" max="8442" width="9.75" style="363" bestFit="1" customWidth="1"/>
    <col min="8443" max="8657" width="7" style="363" customWidth="1"/>
    <col min="8658" max="8658" width="20.75" style="363" customWidth="1"/>
    <col min="8659" max="8659" width="1.875" style="363" customWidth="1"/>
    <col min="8660" max="8660" width="14.25" style="363" customWidth="1"/>
    <col min="8661" max="8661" width="4.25" style="363" customWidth="1"/>
    <col min="8662" max="8662" width="8.875" style="363" bestFit="1" customWidth="1"/>
    <col min="8663" max="8663" width="6.375" style="363" bestFit="1" customWidth="1"/>
    <col min="8664" max="8664" width="2.125" style="363" customWidth="1"/>
    <col min="8665" max="8665" width="8.5" style="363" bestFit="1" customWidth="1"/>
    <col min="8666" max="8666" width="6.375" style="363" bestFit="1" customWidth="1"/>
    <col min="8667" max="8667" width="2.375" style="363" customWidth="1"/>
    <col min="8668" max="8668" width="9.5" style="363" bestFit="1" customWidth="1"/>
    <col min="8669" max="8669" width="7" style="363" bestFit="1" customWidth="1"/>
    <col min="8670" max="8670" width="1.75" style="363" customWidth="1"/>
    <col min="8671" max="8671" width="8.875" style="363" bestFit="1" customWidth="1"/>
    <col min="8672" max="8672" width="2" style="363" customWidth="1"/>
    <col min="8673" max="8673" width="8.875" style="363" bestFit="1" customWidth="1"/>
    <col min="8674" max="8674" width="6.375" style="363" bestFit="1" customWidth="1"/>
    <col min="8675" max="8675" width="1.375" style="363" customWidth="1"/>
    <col min="8676" max="8676" width="8.5" style="363" bestFit="1" customWidth="1"/>
    <col min="8677" max="8677" width="6.375" style="363" bestFit="1" customWidth="1"/>
    <col min="8678" max="8678" width="1.75" style="363" customWidth="1"/>
    <col min="8679" max="8679" width="9.5" style="363" bestFit="1" customWidth="1"/>
    <col min="8680" max="8680" width="7" style="363" bestFit="1" customWidth="1"/>
    <col min="8681" max="8681" width="1.625" style="363" customWidth="1"/>
    <col min="8682" max="8682" width="7.25" style="363" bestFit="1" customWidth="1"/>
    <col min="8683" max="8683" width="2.625" style="363" customWidth="1"/>
    <col min="8684" max="8684" width="13.25" style="363" customWidth="1"/>
    <col min="8685" max="8685" width="6.375" style="363" bestFit="1" customWidth="1"/>
    <col min="8686" max="8686" width="1.75" style="363" customWidth="1"/>
    <col min="8687" max="8687" width="8.5" style="363"/>
    <col min="8688" max="8688" width="42.25" style="363" bestFit="1" customWidth="1"/>
    <col min="8689" max="8689" width="1.25" style="363" customWidth="1"/>
    <col min="8690" max="8690" width="11.625" style="363" customWidth="1"/>
    <col min="8691" max="8691" width="1.25" style="363" customWidth="1"/>
    <col min="8692" max="8692" width="9.625" style="363" customWidth="1"/>
    <col min="8693" max="8693" width="8.125" style="363" customWidth="1"/>
    <col min="8694" max="8694" width="1.25" style="363" customWidth="1"/>
    <col min="8695" max="8695" width="8.125" style="363" customWidth="1"/>
    <col min="8696" max="8696" width="1.625" style="363" customWidth="1"/>
    <col min="8697" max="8697" width="8" style="363" bestFit="1" customWidth="1"/>
    <col min="8698" max="8698" width="9.75" style="363" bestFit="1" customWidth="1"/>
    <col min="8699" max="8913" width="7" style="363" customWidth="1"/>
    <col min="8914" max="8914" width="20.75" style="363" customWidth="1"/>
    <col min="8915" max="8915" width="1.875" style="363" customWidth="1"/>
    <col min="8916" max="8916" width="14.25" style="363" customWidth="1"/>
    <col min="8917" max="8917" width="4.25" style="363" customWidth="1"/>
    <col min="8918" max="8918" width="8.875" style="363" bestFit="1" customWidth="1"/>
    <col min="8919" max="8919" width="6.375" style="363" bestFit="1" customWidth="1"/>
    <col min="8920" max="8920" width="2.125" style="363" customWidth="1"/>
    <col min="8921" max="8921" width="8.5" style="363" bestFit="1" customWidth="1"/>
    <col min="8922" max="8922" width="6.375" style="363" bestFit="1" customWidth="1"/>
    <col min="8923" max="8923" width="2.375" style="363" customWidth="1"/>
    <col min="8924" max="8924" width="9.5" style="363" bestFit="1" customWidth="1"/>
    <col min="8925" max="8925" width="7" style="363" bestFit="1" customWidth="1"/>
    <col min="8926" max="8926" width="1.75" style="363" customWidth="1"/>
    <col min="8927" max="8927" width="8.875" style="363" bestFit="1" customWidth="1"/>
    <col min="8928" max="8928" width="2" style="363" customWidth="1"/>
    <col min="8929" max="8929" width="8.875" style="363" bestFit="1" customWidth="1"/>
    <col min="8930" max="8930" width="6.375" style="363" bestFit="1" customWidth="1"/>
    <col min="8931" max="8931" width="1.375" style="363" customWidth="1"/>
    <col min="8932" max="8932" width="8.5" style="363" bestFit="1" customWidth="1"/>
    <col min="8933" max="8933" width="6.375" style="363" bestFit="1" customWidth="1"/>
    <col min="8934" max="8934" width="1.75" style="363" customWidth="1"/>
    <col min="8935" max="8935" width="9.5" style="363" bestFit="1" customWidth="1"/>
    <col min="8936" max="8936" width="7" style="363" bestFit="1" customWidth="1"/>
    <col min="8937" max="8937" width="1.625" style="363" customWidth="1"/>
    <col min="8938" max="8938" width="7.25" style="363" bestFit="1" customWidth="1"/>
    <col min="8939" max="8939" width="2.625" style="363" customWidth="1"/>
    <col min="8940" max="8940" width="13.25" style="363" customWidth="1"/>
    <col min="8941" max="8941" width="6.375" style="363" bestFit="1" customWidth="1"/>
    <col min="8942" max="8942" width="1.75" style="363" customWidth="1"/>
    <col min="8943" max="8943" width="8.5" style="363"/>
    <col min="8944" max="8944" width="42.25" style="363" bestFit="1" customWidth="1"/>
    <col min="8945" max="8945" width="1.25" style="363" customWidth="1"/>
    <col min="8946" max="8946" width="11.625" style="363" customWidth="1"/>
    <col min="8947" max="8947" width="1.25" style="363" customWidth="1"/>
    <col min="8948" max="8948" width="9.625" style="363" customWidth="1"/>
    <col min="8949" max="8949" width="8.125" style="363" customWidth="1"/>
    <col min="8950" max="8950" width="1.25" style="363" customWidth="1"/>
    <col min="8951" max="8951" width="8.125" style="363" customWidth="1"/>
    <col min="8952" max="8952" width="1.625" style="363" customWidth="1"/>
    <col min="8953" max="8953" width="8" style="363" bestFit="1" customWidth="1"/>
    <col min="8954" max="8954" width="9.75" style="363" bestFit="1" customWidth="1"/>
    <col min="8955" max="9169" width="7" style="363" customWidth="1"/>
    <col min="9170" max="9170" width="20.75" style="363" customWidth="1"/>
    <col min="9171" max="9171" width="1.875" style="363" customWidth="1"/>
    <col min="9172" max="9172" width="14.25" style="363" customWidth="1"/>
    <col min="9173" max="9173" width="4.25" style="363" customWidth="1"/>
    <col min="9174" max="9174" width="8.875" style="363" bestFit="1" customWidth="1"/>
    <col min="9175" max="9175" width="6.375" style="363" bestFit="1" customWidth="1"/>
    <col min="9176" max="9176" width="2.125" style="363" customWidth="1"/>
    <col min="9177" max="9177" width="8.5" style="363" bestFit="1" customWidth="1"/>
    <col min="9178" max="9178" width="6.375" style="363" bestFit="1" customWidth="1"/>
    <col min="9179" max="9179" width="2.375" style="363" customWidth="1"/>
    <col min="9180" max="9180" width="9.5" style="363" bestFit="1" customWidth="1"/>
    <col min="9181" max="9181" width="7" style="363" bestFit="1" customWidth="1"/>
    <col min="9182" max="9182" width="1.75" style="363" customWidth="1"/>
    <col min="9183" max="9183" width="8.875" style="363" bestFit="1" customWidth="1"/>
    <col min="9184" max="9184" width="2" style="363" customWidth="1"/>
    <col min="9185" max="9185" width="8.875" style="363" bestFit="1" customWidth="1"/>
    <col min="9186" max="9186" width="6.375" style="363" bestFit="1" customWidth="1"/>
    <col min="9187" max="9187" width="1.375" style="363" customWidth="1"/>
    <col min="9188" max="9188" width="8.5" style="363" bestFit="1" customWidth="1"/>
    <col min="9189" max="9189" width="6.375" style="363" bestFit="1" customWidth="1"/>
    <col min="9190" max="9190" width="1.75" style="363" customWidth="1"/>
    <col min="9191" max="9191" width="9.5" style="363" bestFit="1" customWidth="1"/>
    <col min="9192" max="9192" width="7" style="363" bestFit="1" customWidth="1"/>
    <col min="9193" max="9193" width="1.625" style="363" customWidth="1"/>
    <col min="9194" max="9194" width="7.25" style="363" bestFit="1" customWidth="1"/>
    <col min="9195" max="9195" width="2.625" style="363" customWidth="1"/>
    <col min="9196" max="9196" width="13.25" style="363" customWidth="1"/>
    <col min="9197" max="9197" width="6.375" style="363" bestFit="1" customWidth="1"/>
    <col min="9198" max="9198" width="1.75" style="363" customWidth="1"/>
    <col min="9199" max="9199" width="8.5" style="363"/>
    <col min="9200" max="9200" width="42.25" style="363" bestFit="1" customWidth="1"/>
    <col min="9201" max="9201" width="1.25" style="363" customWidth="1"/>
    <col min="9202" max="9202" width="11.625" style="363" customWidth="1"/>
    <col min="9203" max="9203" width="1.25" style="363" customWidth="1"/>
    <col min="9204" max="9204" width="9.625" style="363" customWidth="1"/>
    <col min="9205" max="9205" width="8.125" style="363" customWidth="1"/>
    <col min="9206" max="9206" width="1.25" style="363" customWidth="1"/>
    <col min="9207" max="9207" width="8.125" style="363" customWidth="1"/>
    <col min="9208" max="9208" width="1.625" style="363" customWidth="1"/>
    <col min="9209" max="9209" width="8" style="363" bestFit="1" customWidth="1"/>
    <col min="9210" max="9210" width="9.75" style="363" bestFit="1" customWidth="1"/>
    <col min="9211" max="9425" width="7" style="363" customWidth="1"/>
    <col min="9426" max="9426" width="20.75" style="363" customWidth="1"/>
    <col min="9427" max="9427" width="1.875" style="363" customWidth="1"/>
    <col min="9428" max="9428" width="14.25" style="363" customWidth="1"/>
    <col min="9429" max="9429" width="4.25" style="363" customWidth="1"/>
    <col min="9430" max="9430" width="8.875" style="363" bestFit="1" customWidth="1"/>
    <col min="9431" max="9431" width="6.375" style="363" bestFit="1" customWidth="1"/>
    <col min="9432" max="9432" width="2.125" style="363" customWidth="1"/>
    <col min="9433" max="9433" width="8.5" style="363" bestFit="1" customWidth="1"/>
    <col min="9434" max="9434" width="6.375" style="363" bestFit="1" customWidth="1"/>
    <col min="9435" max="9435" width="2.375" style="363" customWidth="1"/>
    <col min="9436" max="9436" width="9.5" style="363" bestFit="1" customWidth="1"/>
    <col min="9437" max="9437" width="7" style="363" bestFit="1" customWidth="1"/>
    <col min="9438" max="9438" width="1.75" style="363" customWidth="1"/>
    <col min="9439" max="9439" width="8.875" style="363" bestFit="1" customWidth="1"/>
    <col min="9440" max="9440" width="2" style="363" customWidth="1"/>
    <col min="9441" max="9441" width="8.875" style="363" bestFit="1" customWidth="1"/>
    <col min="9442" max="9442" width="6.375" style="363" bestFit="1" customWidth="1"/>
    <col min="9443" max="9443" width="1.375" style="363" customWidth="1"/>
    <col min="9444" max="9444" width="8.5" style="363" bestFit="1" customWidth="1"/>
    <col min="9445" max="9445" width="6.375" style="363" bestFit="1" customWidth="1"/>
    <col min="9446" max="9446" width="1.75" style="363" customWidth="1"/>
    <col min="9447" max="9447" width="9.5" style="363" bestFit="1" customWidth="1"/>
    <col min="9448" max="9448" width="7" style="363" bestFit="1" customWidth="1"/>
    <col min="9449" max="9449" width="1.625" style="363" customWidth="1"/>
    <col min="9450" max="9450" width="7.25" style="363" bestFit="1" customWidth="1"/>
    <col min="9451" max="9451" width="2.625" style="363" customWidth="1"/>
    <col min="9452" max="9452" width="13.25" style="363" customWidth="1"/>
    <col min="9453" max="9453" width="6.375" style="363" bestFit="1" customWidth="1"/>
    <col min="9454" max="9454" width="1.75" style="363" customWidth="1"/>
    <col min="9455" max="9455" width="8.5" style="363"/>
    <col min="9456" max="9456" width="42.25" style="363" bestFit="1" customWidth="1"/>
    <col min="9457" max="9457" width="1.25" style="363" customWidth="1"/>
    <col min="9458" max="9458" width="11.625" style="363" customWidth="1"/>
    <col min="9459" max="9459" width="1.25" style="363" customWidth="1"/>
    <col min="9460" max="9460" width="9.625" style="363" customWidth="1"/>
    <col min="9461" max="9461" width="8.125" style="363" customWidth="1"/>
    <col min="9462" max="9462" width="1.25" style="363" customWidth="1"/>
    <col min="9463" max="9463" width="8.125" style="363" customWidth="1"/>
    <col min="9464" max="9464" width="1.625" style="363" customWidth="1"/>
    <col min="9465" max="9465" width="8" style="363" bestFit="1" customWidth="1"/>
    <col min="9466" max="9466" width="9.75" style="363" bestFit="1" customWidth="1"/>
    <col min="9467" max="9681" width="7" style="363" customWidth="1"/>
    <col min="9682" max="9682" width="20.75" style="363" customWidth="1"/>
    <col min="9683" max="9683" width="1.875" style="363" customWidth="1"/>
    <col min="9684" max="9684" width="14.25" style="363" customWidth="1"/>
    <col min="9685" max="9685" width="4.25" style="363" customWidth="1"/>
    <col min="9686" max="9686" width="8.875" style="363" bestFit="1" customWidth="1"/>
    <col min="9687" max="9687" width="6.375" style="363" bestFit="1" customWidth="1"/>
    <col min="9688" max="9688" width="2.125" style="363" customWidth="1"/>
    <col min="9689" max="9689" width="8.5" style="363" bestFit="1" customWidth="1"/>
    <col min="9690" max="9690" width="6.375" style="363" bestFit="1" customWidth="1"/>
    <col min="9691" max="9691" width="2.375" style="363" customWidth="1"/>
    <col min="9692" max="9692" width="9.5" style="363" bestFit="1" customWidth="1"/>
    <col min="9693" max="9693" width="7" style="363" bestFit="1" customWidth="1"/>
    <col min="9694" max="9694" width="1.75" style="363" customWidth="1"/>
    <col min="9695" max="9695" width="8.875" style="363" bestFit="1" customWidth="1"/>
    <col min="9696" max="9696" width="2" style="363" customWidth="1"/>
    <col min="9697" max="9697" width="8.875" style="363" bestFit="1" customWidth="1"/>
    <col min="9698" max="9698" width="6.375" style="363" bestFit="1" customWidth="1"/>
    <col min="9699" max="9699" width="1.375" style="363" customWidth="1"/>
    <col min="9700" max="9700" width="8.5" style="363" bestFit="1" customWidth="1"/>
    <col min="9701" max="9701" width="6.375" style="363" bestFit="1" customWidth="1"/>
    <col min="9702" max="9702" width="1.75" style="363" customWidth="1"/>
    <col min="9703" max="9703" width="9.5" style="363" bestFit="1" customWidth="1"/>
    <col min="9704" max="9704" width="7" style="363" bestFit="1" customWidth="1"/>
    <col min="9705" max="9705" width="1.625" style="363" customWidth="1"/>
    <col min="9706" max="9706" width="7.25" style="363" bestFit="1" customWidth="1"/>
    <col min="9707" max="9707" width="2.625" style="363" customWidth="1"/>
    <col min="9708" max="9708" width="13.25" style="363" customWidth="1"/>
    <col min="9709" max="9709" width="6.375" style="363" bestFit="1" customWidth="1"/>
    <col min="9710" max="9710" width="1.75" style="363" customWidth="1"/>
    <col min="9711" max="9711" width="8.5" style="363"/>
    <col min="9712" max="9712" width="42.25" style="363" bestFit="1" customWidth="1"/>
    <col min="9713" max="9713" width="1.25" style="363" customWidth="1"/>
    <col min="9714" max="9714" width="11.625" style="363" customWidth="1"/>
    <col min="9715" max="9715" width="1.25" style="363" customWidth="1"/>
    <col min="9716" max="9716" width="9.625" style="363" customWidth="1"/>
    <col min="9717" max="9717" width="8.125" style="363" customWidth="1"/>
    <col min="9718" max="9718" width="1.25" style="363" customWidth="1"/>
    <col min="9719" max="9719" width="8.125" style="363" customWidth="1"/>
    <col min="9720" max="9720" width="1.625" style="363" customWidth="1"/>
    <col min="9721" max="9721" width="8" style="363" bestFit="1" customWidth="1"/>
    <col min="9722" max="9722" width="9.75" style="363" bestFit="1" customWidth="1"/>
    <col min="9723" max="9937" width="7" style="363" customWidth="1"/>
    <col min="9938" max="9938" width="20.75" style="363" customWidth="1"/>
    <col min="9939" max="9939" width="1.875" style="363" customWidth="1"/>
    <col min="9940" max="9940" width="14.25" style="363" customWidth="1"/>
    <col min="9941" max="9941" width="4.25" style="363" customWidth="1"/>
    <col min="9942" max="9942" width="8.875" style="363" bestFit="1" customWidth="1"/>
    <col min="9943" max="9943" width="6.375" style="363" bestFit="1" customWidth="1"/>
    <col min="9944" max="9944" width="2.125" style="363" customWidth="1"/>
    <col min="9945" max="9945" width="8.5" style="363" bestFit="1" customWidth="1"/>
    <col min="9946" max="9946" width="6.375" style="363" bestFit="1" customWidth="1"/>
    <col min="9947" max="9947" width="2.375" style="363" customWidth="1"/>
    <col min="9948" max="9948" width="9.5" style="363" bestFit="1" customWidth="1"/>
    <col min="9949" max="9949" width="7" style="363" bestFit="1" customWidth="1"/>
    <col min="9950" max="9950" width="1.75" style="363" customWidth="1"/>
    <col min="9951" max="9951" width="8.875" style="363" bestFit="1" customWidth="1"/>
    <col min="9952" max="9952" width="2" style="363" customWidth="1"/>
    <col min="9953" max="9953" width="8.875" style="363" bestFit="1" customWidth="1"/>
    <col min="9954" max="9954" width="6.375" style="363" bestFit="1" customWidth="1"/>
    <col min="9955" max="9955" width="1.375" style="363" customWidth="1"/>
    <col min="9956" max="9956" width="8.5" style="363" bestFit="1" customWidth="1"/>
    <col min="9957" max="9957" width="6.375" style="363" bestFit="1" customWidth="1"/>
    <col min="9958" max="9958" width="1.75" style="363" customWidth="1"/>
    <col min="9959" max="9959" width="9.5" style="363" bestFit="1" customWidth="1"/>
    <col min="9960" max="9960" width="7" style="363" bestFit="1" customWidth="1"/>
    <col min="9961" max="9961" width="1.625" style="363" customWidth="1"/>
    <col min="9962" max="9962" width="7.25" style="363" bestFit="1" customWidth="1"/>
    <col min="9963" max="9963" width="2.625" style="363" customWidth="1"/>
    <col min="9964" max="9964" width="13.25" style="363" customWidth="1"/>
    <col min="9965" max="9965" width="6.375" style="363" bestFit="1" customWidth="1"/>
    <col min="9966" max="9966" width="1.75" style="363" customWidth="1"/>
    <col min="9967" max="9967" width="8.5" style="363"/>
    <col min="9968" max="9968" width="42.25" style="363" bestFit="1" customWidth="1"/>
    <col min="9969" max="9969" width="1.25" style="363" customWidth="1"/>
    <col min="9970" max="9970" width="11.625" style="363" customWidth="1"/>
    <col min="9971" max="9971" width="1.25" style="363" customWidth="1"/>
    <col min="9972" max="9972" width="9.625" style="363" customWidth="1"/>
    <col min="9973" max="9973" width="8.125" style="363" customWidth="1"/>
    <col min="9974" max="9974" width="1.25" style="363" customWidth="1"/>
    <col min="9975" max="9975" width="8.125" style="363" customWidth="1"/>
    <col min="9976" max="9976" width="1.625" style="363" customWidth="1"/>
    <col min="9977" max="9977" width="8" style="363" bestFit="1" customWidth="1"/>
    <col min="9978" max="9978" width="9.75" style="363" bestFit="1" customWidth="1"/>
    <col min="9979" max="10193" width="7" style="363" customWidth="1"/>
    <col min="10194" max="10194" width="20.75" style="363" customWidth="1"/>
    <col min="10195" max="10195" width="1.875" style="363" customWidth="1"/>
    <col min="10196" max="10196" width="14.25" style="363" customWidth="1"/>
    <col min="10197" max="10197" width="4.25" style="363" customWidth="1"/>
    <col min="10198" max="10198" width="8.875" style="363" bestFit="1" customWidth="1"/>
    <col min="10199" max="10199" width="6.375" style="363" bestFit="1" customWidth="1"/>
    <col min="10200" max="10200" width="2.125" style="363" customWidth="1"/>
    <col min="10201" max="10201" width="8.5" style="363" bestFit="1" customWidth="1"/>
    <col min="10202" max="10202" width="6.375" style="363" bestFit="1" customWidth="1"/>
    <col min="10203" max="10203" width="2.375" style="363" customWidth="1"/>
    <col min="10204" max="10204" width="9.5" style="363" bestFit="1" customWidth="1"/>
    <col min="10205" max="10205" width="7" style="363" bestFit="1" customWidth="1"/>
    <col min="10206" max="10206" width="1.75" style="363" customWidth="1"/>
    <col min="10207" max="10207" width="8.875" style="363" bestFit="1" customWidth="1"/>
    <col min="10208" max="10208" width="2" style="363" customWidth="1"/>
    <col min="10209" max="10209" width="8.875" style="363" bestFit="1" customWidth="1"/>
    <col min="10210" max="10210" width="6.375" style="363" bestFit="1" customWidth="1"/>
    <col min="10211" max="10211" width="1.375" style="363" customWidth="1"/>
    <col min="10212" max="10212" width="8.5" style="363" bestFit="1" customWidth="1"/>
    <col min="10213" max="10213" width="6.375" style="363" bestFit="1" customWidth="1"/>
    <col min="10214" max="10214" width="1.75" style="363" customWidth="1"/>
    <col min="10215" max="10215" width="9.5" style="363" bestFit="1" customWidth="1"/>
    <col min="10216" max="10216" width="7" style="363" bestFit="1" customWidth="1"/>
    <col min="10217" max="10217" width="1.625" style="363" customWidth="1"/>
    <col min="10218" max="10218" width="7.25" style="363" bestFit="1" customWidth="1"/>
    <col min="10219" max="10219" width="2.625" style="363" customWidth="1"/>
    <col min="10220" max="10220" width="13.25" style="363" customWidth="1"/>
    <col min="10221" max="10221" width="6.375" style="363" bestFit="1" customWidth="1"/>
    <col min="10222" max="10222" width="1.75" style="363" customWidth="1"/>
    <col min="10223" max="10223" width="8.5" style="363"/>
    <col min="10224" max="10224" width="42.25" style="363" bestFit="1" customWidth="1"/>
    <col min="10225" max="10225" width="1.25" style="363" customWidth="1"/>
    <col min="10226" max="10226" width="11.625" style="363" customWidth="1"/>
    <col min="10227" max="10227" width="1.25" style="363" customWidth="1"/>
    <col min="10228" max="10228" width="9.625" style="363" customWidth="1"/>
    <col min="10229" max="10229" width="8.125" style="363" customWidth="1"/>
    <col min="10230" max="10230" width="1.25" style="363" customWidth="1"/>
    <col min="10231" max="10231" width="8.125" style="363" customWidth="1"/>
    <col min="10232" max="10232" width="1.625" style="363" customWidth="1"/>
    <col min="10233" max="10233" width="8" style="363" bestFit="1" customWidth="1"/>
    <col min="10234" max="10234" width="9.75" style="363" bestFit="1" customWidth="1"/>
    <col min="10235" max="10449" width="7" style="363" customWidth="1"/>
    <col min="10450" max="10450" width="20.75" style="363" customWidth="1"/>
    <col min="10451" max="10451" width="1.875" style="363" customWidth="1"/>
    <col min="10452" max="10452" width="14.25" style="363" customWidth="1"/>
    <col min="10453" max="10453" width="4.25" style="363" customWidth="1"/>
    <col min="10454" max="10454" width="8.875" style="363" bestFit="1" customWidth="1"/>
    <col min="10455" max="10455" width="6.375" style="363" bestFit="1" customWidth="1"/>
    <col min="10456" max="10456" width="2.125" style="363" customWidth="1"/>
    <col min="10457" max="10457" width="8.5" style="363" bestFit="1" customWidth="1"/>
    <col min="10458" max="10458" width="6.375" style="363" bestFit="1" customWidth="1"/>
    <col min="10459" max="10459" width="2.375" style="363" customWidth="1"/>
    <col min="10460" max="10460" width="9.5" style="363" bestFit="1" customWidth="1"/>
    <col min="10461" max="10461" width="7" style="363" bestFit="1" customWidth="1"/>
    <col min="10462" max="10462" width="1.75" style="363" customWidth="1"/>
    <col min="10463" max="10463" width="8.875" style="363" bestFit="1" customWidth="1"/>
    <col min="10464" max="10464" width="2" style="363" customWidth="1"/>
    <col min="10465" max="10465" width="8.875" style="363" bestFit="1" customWidth="1"/>
    <col min="10466" max="10466" width="6.375" style="363" bestFit="1" customWidth="1"/>
    <col min="10467" max="10467" width="1.375" style="363" customWidth="1"/>
    <col min="10468" max="10468" width="8.5" style="363" bestFit="1" customWidth="1"/>
    <col min="10469" max="10469" width="6.375" style="363" bestFit="1" customWidth="1"/>
    <col min="10470" max="10470" width="1.75" style="363" customWidth="1"/>
    <col min="10471" max="10471" width="9.5" style="363" bestFit="1" customWidth="1"/>
    <col min="10472" max="10472" width="7" style="363" bestFit="1" customWidth="1"/>
    <col min="10473" max="10473" width="1.625" style="363" customWidth="1"/>
    <col min="10474" max="10474" width="7.25" style="363" bestFit="1" customWidth="1"/>
    <col min="10475" max="10475" width="2.625" style="363" customWidth="1"/>
    <col min="10476" max="10476" width="13.25" style="363" customWidth="1"/>
    <col min="10477" max="10477" width="6.375" style="363" bestFit="1" customWidth="1"/>
    <col min="10478" max="10478" width="1.75" style="363" customWidth="1"/>
    <col min="10479" max="10479" width="8.5" style="363"/>
    <col min="10480" max="10480" width="42.25" style="363" bestFit="1" customWidth="1"/>
    <col min="10481" max="10481" width="1.25" style="363" customWidth="1"/>
    <col min="10482" max="10482" width="11.625" style="363" customWidth="1"/>
    <col min="10483" max="10483" width="1.25" style="363" customWidth="1"/>
    <col min="10484" max="10484" width="9.625" style="363" customWidth="1"/>
    <col min="10485" max="10485" width="8.125" style="363" customWidth="1"/>
    <col min="10486" max="10486" width="1.25" style="363" customWidth="1"/>
    <col min="10487" max="10487" width="8.125" style="363" customWidth="1"/>
    <col min="10488" max="10488" width="1.625" style="363" customWidth="1"/>
    <col min="10489" max="10489" width="8" style="363" bestFit="1" customWidth="1"/>
    <col min="10490" max="10490" width="9.75" style="363" bestFit="1" customWidth="1"/>
    <col min="10491" max="10705" width="7" style="363" customWidth="1"/>
    <col min="10706" max="10706" width="20.75" style="363" customWidth="1"/>
    <col min="10707" max="10707" width="1.875" style="363" customWidth="1"/>
    <col min="10708" max="10708" width="14.25" style="363" customWidth="1"/>
    <col min="10709" max="10709" width="4.25" style="363" customWidth="1"/>
    <col min="10710" max="10710" width="8.875" style="363" bestFit="1" customWidth="1"/>
    <col min="10711" max="10711" width="6.375" style="363" bestFit="1" customWidth="1"/>
    <col min="10712" max="10712" width="2.125" style="363" customWidth="1"/>
    <col min="10713" max="10713" width="8.5" style="363" bestFit="1" customWidth="1"/>
    <col min="10714" max="10714" width="6.375" style="363" bestFit="1" customWidth="1"/>
    <col min="10715" max="10715" width="2.375" style="363" customWidth="1"/>
    <col min="10716" max="10716" width="9.5" style="363" bestFit="1" customWidth="1"/>
    <col min="10717" max="10717" width="7" style="363" bestFit="1" customWidth="1"/>
    <col min="10718" max="10718" width="1.75" style="363" customWidth="1"/>
    <col min="10719" max="10719" width="8.875" style="363" bestFit="1" customWidth="1"/>
    <col min="10720" max="10720" width="2" style="363" customWidth="1"/>
    <col min="10721" max="10721" width="8.875" style="363" bestFit="1" customWidth="1"/>
    <col min="10722" max="10722" width="6.375" style="363" bestFit="1" customWidth="1"/>
    <col min="10723" max="10723" width="1.375" style="363" customWidth="1"/>
    <col min="10724" max="10724" width="8.5" style="363" bestFit="1" customWidth="1"/>
    <col min="10725" max="10725" width="6.375" style="363" bestFit="1" customWidth="1"/>
    <col min="10726" max="10726" width="1.75" style="363" customWidth="1"/>
    <col min="10727" max="10727" width="9.5" style="363" bestFit="1" customWidth="1"/>
    <col min="10728" max="10728" width="7" style="363" bestFit="1" customWidth="1"/>
    <col min="10729" max="10729" width="1.625" style="363" customWidth="1"/>
    <col min="10730" max="10730" width="7.25" style="363" bestFit="1" customWidth="1"/>
    <col min="10731" max="10731" width="2.625" style="363" customWidth="1"/>
    <col min="10732" max="10732" width="13.25" style="363" customWidth="1"/>
    <col min="10733" max="10733" width="6.375" style="363" bestFit="1" customWidth="1"/>
    <col min="10734" max="10734" width="1.75" style="363" customWidth="1"/>
    <col min="10735" max="10735" width="8.5" style="363"/>
    <col min="10736" max="10736" width="42.25" style="363" bestFit="1" customWidth="1"/>
    <col min="10737" max="10737" width="1.25" style="363" customWidth="1"/>
    <col min="10738" max="10738" width="11.625" style="363" customWidth="1"/>
    <col min="10739" max="10739" width="1.25" style="363" customWidth="1"/>
    <col min="10740" max="10740" width="9.625" style="363" customWidth="1"/>
    <col min="10741" max="10741" width="8.125" style="363" customWidth="1"/>
    <col min="10742" max="10742" width="1.25" style="363" customWidth="1"/>
    <col min="10743" max="10743" width="8.125" style="363" customWidth="1"/>
    <col min="10744" max="10744" width="1.625" style="363" customWidth="1"/>
    <col min="10745" max="10745" width="8" style="363" bestFit="1" customWidth="1"/>
    <col min="10746" max="10746" width="9.75" style="363" bestFit="1" customWidth="1"/>
    <col min="10747" max="10961" width="7" style="363" customWidth="1"/>
    <col min="10962" max="10962" width="20.75" style="363" customWidth="1"/>
    <col min="10963" max="10963" width="1.875" style="363" customWidth="1"/>
    <col min="10964" max="10964" width="14.25" style="363" customWidth="1"/>
    <col min="10965" max="10965" width="4.25" style="363" customWidth="1"/>
    <col min="10966" max="10966" width="8.875" style="363" bestFit="1" customWidth="1"/>
    <col min="10967" max="10967" width="6.375" style="363" bestFit="1" customWidth="1"/>
    <col min="10968" max="10968" width="2.125" style="363" customWidth="1"/>
    <col min="10969" max="10969" width="8.5" style="363" bestFit="1" customWidth="1"/>
    <col min="10970" max="10970" width="6.375" style="363" bestFit="1" customWidth="1"/>
    <col min="10971" max="10971" width="2.375" style="363" customWidth="1"/>
    <col min="10972" max="10972" width="9.5" style="363" bestFit="1" customWidth="1"/>
    <col min="10973" max="10973" width="7" style="363" bestFit="1" customWidth="1"/>
    <col min="10974" max="10974" width="1.75" style="363" customWidth="1"/>
    <col min="10975" max="10975" width="8.875" style="363" bestFit="1" customWidth="1"/>
    <col min="10976" max="10976" width="2" style="363" customWidth="1"/>
    <col min="10977" max="10977" width="8.875" style="363" bestFit="1" customWidth="1"/>
    <col min="10978" max="10978" width="6.375" style="363" bestFit="1" customWidth="1"/>
    <col min="10979" max="10979" width="1.375" style="363" customWidth="1"/>
    <col min="10980" max="10980" width="8.5" style="363" bestFit="1" customWidth="1"/>
    <col min="10981" max="10981" width="6.375" style="363" bestFit="1" customWidth="1"/>
    <col min="10982" max="10982" width="1.75" style="363" customWidth="1"/>
    <col min="10983" max="10983" width="9.5" style="363" bestFit="1" customWidth="1"/>
    <col min="10984" max="10984" width="7" style="363" bestFit="1" customWidth="1"/>
    <col min="10985" max="10985" width="1.625" style="363" customWidth="1"/>
    <col min="10986" max="10986" width="7.25" style="363" bestFit="1" customWidth="1"/>
    <col min="10987" max="10987" width="2.625" style="363" customWidth="1"/>
    <col min="10988" max="10988" width="13.25" style="363" customWidth="1"/>
    <col min="10989" max="10989" width="6.375" style="363" bestFit="1" customWidth="1"/>
    <col min="10990" max="10990" width="1.75" style="363" customWidth="1"/>
    <col min="10991" max="10991" width="8.5" style="363"/>
    <col min="10992" max="10992" width="42.25" style="363" bestFit="1" customWidth="1"/>
    <col min="10993" max="10993" width="1.25" style="363" customWidth="1"/>
    <col min="10994" max="10994" width="11.625" style="363" customWidth="1"/>
    <col min="10995" max="10995" width="1.25" style="363" customWidth="1"/>
    <col min="10996" max="10996" width="9.625" style="363" customWidth="1"/>
    <col min="10997" max="10997" width="8.125" style="363" customWidth="1"/>
    <col min="10998" max="10998" width="1.25" style="363" customWidth="1"/>
    <col min="10999" max="10999" width="8.125" style="363" customWidth="1"/>
    <col min="11000" max="11000" width="1.625" style="363" customWidth="1"/>
    <col min="11001" max="11001" width="8" style="363" bestFit="1" customWidth="1"/>
    <col min="11002" max="11002" width="9.75" style="363" bestFit="1" customWidth="1"/>
    <col min="11003" max="11217" width="7" style="363" customWidth="1"/>
    <col min="11218" max="11218" width="20.75" style="363" customWidth="1"/>
    <col min="11219" max="11219" width="1.875" style="363" customWidth="1"/>
    <col min="11220" max="11220" width="14.25" style="363" customWidth="1"/>
    <col min="11221" max="11221" width="4.25" style="363" customWidth="1"/>
    <col min="11222" max="11222" width="8.875" style="363" bestFit="1" customWidth="1"/>
    <col min="11223" max="11223" width="6.375" style="363" bestFit="1" customWidth="1"/>
    <col min="11224" max="11224" width="2.125" style="363" customWidth="1"/>
    <col min="11225" max="11225" width="8.5" style="363" bestFit="1" customWidth="1"/>
    <col min="11226" max="11226" width="6.375" style="363" bestFit="1" customWidth="1"/>
    <col min="11227" max="11227" width="2.375" style="363" customWidth="1"/>
    <col min="11228" max="11228" width="9.5" style="363" bestFit="1" customWidth="1"/>
    <col min="11229" max="11229" width="7" style="363" bestFit="1" customWidth="1"/>
    <col min="11230" max="11230" width="1.75" style="363" customWidth="1"/>
    <col min="11231" max="11231" width="8.875" style="363" bestFit="1" customWidth="1"/>
    <col min="11232" max="11232" width="2" style="363" customWidth="1"/>
    <col min="11233" max="11233" width="8.875" style="363" bestFit="1" customWidth="1"/>
    <col min="11234" max="11234" width="6.375" style="363" bestFit="1" customWidth="1"/>
    <col min="11235" max="11235" width="1.375" style="363" customWidth="1"/>
    <col min="11236" max="11236" width="8.5" style="363" bestFit="1" customWidth="1"/>
    <col min="11237" max="11237" width="6.375" style="363" bestFit="1" customWidth="1"/>
    <col min="11238" max="11238" width="1.75" style="363" customWidth="1"/>
    <col min="11239" max="11239" width="9.5" style="363" bestFit="1" customWidth="1"/>
    <col min="11240" max="11240" width="7" style="363" bestFit="1" customWidth="1"/>
    <col min="11241" max="11241" width="1.625" style="363" customWidth="1"/>
    <col min="11242" max="11242" width="7.25" style="363" bestFit="1" customWidth="1"/>
    <col min="11243" max="11243" width="2.625" style="363" customWidth="1"/>
    <col min="11244" max="11244" width="13.25" style="363" customWidth="1"/>
    <col min="11245" max="11245" width="6.375" style="363" bestFit="1" customWidth="1"/>
    <col min="11246" max="11246" width="1.75" style="363" customWidth="1"/>
    <col min="11247" max="11247" width="8.5" style="363"/>
    <col min="11248" max="11248" width="42.25" style="363" bestFit="1" customWidth="1"/>
    <col min="11249" max="11249" width="1.25" style="363" customWidth="1"/>
    <col min="11250" max="11250" width="11.625" style="363" customWidth="1"/>
    <col min="11251" max="11251" width="1.25" style="363" customWidth="1"/>
    <col min="11252" max="11252" width="9.625" style="363" customWidth="1"/>
    <col min="11253" max="11253" width="8.125" style="363" customWidth="1"/>
    <col min="11254" max="11254" width="1.25" style="363" customWidth="1"/>
    <col min="11255" max="11255" width="8.125" style="363" customWidth="1"/>
    <col min="11256" max="11256" width="1.625" style="363" customWidth="1"/>
    <col min="11257" max="11257" width="8" style="363" bestFit="1" customWidth="1"/>
    <col min="11258" max="11258" width="9.75" style="363" bestFit="1" customWidth="1"/>
    <col min="11259" max="11473" width="7" style="363" customWidth="1"/>
    <col min="11474" max="11474" width="20.75" style="363" customWidth="1"/>
    <col min="11475" max="11475" width="1.875" style="363" customWidth="1"/>
    <col min="11476" max="11476" width="14.25" style="363" customWidth="1"/>
    <col min="11477" max="11477" width="4.25" style="363" customWidth="1"/>
    <col min="11478" max="11478" width="8.875" style="363" bestFit="1" customWidth="1"/>
    <col min="11479" max="11479" width="6.375" style="363" bestFit="1" customWidth="1"/>
    <col min="11480" max="11480" width="2.125" style="363" customWidth="1"/>
    <col min="11481" max="11481" width="8.5" style="363" bestFit="1" customWidth="1"/>
    <col min="11482" max="11482" width="6.375" style="363" bestFit="1" customWidth="1"/>
    <col min="11483" max="11483" width="2.375" style="363" customWidth="1"/>
    <col min="11484" max="11484" width="9.5" style="363" bestFit="1" customWidth="1"/>
    <col min="11485" max="11485" width="7" style="363" bestFit="1" customWidth="1"/>
    <col min="11486" max="11486" width="1.75" style="363" customWidth="1"/>
    <col min="11487" max="11487" width="8.875" style="363" bestFit="1" customWidth="1"/>
    <col min="11488" max="11488" width="2" style="363" customWidth="1"/>
    <col min="11489" max="11489" width="8.875" style="363" bestFit="1" customWidth="1"/>
    <col min="11490" max="11490" width="6.375" style="363" bestFit="1" customWidth="1"/>
    <col min="11491" max="11491" width="1.375" style="363" customWidth="1"/>
    <col min="11492" max="11492" width="8.5" style="363" bestFit="1" customWidth="1"/>
    <col min="11493" max="11493" width="6.375" style="363" bestFit="1" customWidth="1"/>
    <col min="11494" max="11494" width="1.75" style="363" customWidth="1"/>
    <col min="11495" max="11495" width="9.5" style="363" bestFit="1" customWidth="1"/>
    <col min="11496" max="11496" width="7" style="363" bestFit="1" customWidth="1"/>
    <col min="11497" max="11497" width="1.625" style="363" customWidth="1"/>
    <col min="11498" max="11498" width="7.25" style="363" bestFit="1" customWidth="1"/>
    <col min="11499" max="11499" width="2.625" style="363" customWidth="1"/>
    <col min="11500" max="11500" width="13.25" style="363" customWidth="1"/>
    <col min="11501" max="11501" width="6.375" style="363" bestFit="1" customWidth="1"/>
    <col min="11502" max="11502" width="1.75" style="363" customWidth="1"/>
    <col min="11503" max="11503" width="8.5" style="363"/>
    <col min="11504" max="11504" width="42.25" style="363" bestFit="1" customWidth="1"/>
    <col min="11505" max="11505" width="1.25" style="363" customWidth="1"/>
    <col min="11506" max="11506" width="11.625" style="363" customWidth="1"/>
    <col min="11507" max="11507" width="1.25" style="363" customWidth="1"/>
    <col min="11508" max="11508" width="9.625" style="363" customWidth="1"/>
    <col min="11509" max="11509" width="8.125" style="363" customWidth="1"/>
    <col min="11510" max="11510" width="1.25" style="363" customWidth="1"/>
    <col min="11511" max="11511" width="8.125" style="363" customWidth="1"/>
    <col min="11512" max="11512" width="1.625" style="363" customWidth="1"/>
    <col min="11513" max="11513" width="8" style="363" bestFit="1" customWidth="1"/>
    <col min="11514" max="11514" width="9.75" style="363" bestFit="1" customWidth="1"/>
    <col min="11515" max="11729" width="7" style="363" customWidth="1"/>
    <col min="11730" max="11730" width="20.75" style="363" customWidth="1"/>
    <col min="11731" max="11731" width="1.875" style="363" customWidth="1"/>
    <col min="11732" max="11732" width="14.25" style="363" customWidth="1"/>
    <col min="11733" max="11733" width="4.25" style="363" customWidth="1"/>
    <col min="11734" max="11734" width="8.875" style="363" bestFit="1" customWidth="1"/>
    <col min="11735" max="11735" width="6.375" style="363" bestFit="1" customWidth="1"/>
    <col min="11736" max="11736" width="2.125" style="363" customWidth="1"/>
    <col min="11737" max="11737" width="8.5" style="363" bestFit="1" customWidth="1"/>
    <col min="11738" max="11738" width="6.375" style="363" bestFit="1" customWidth="1"/>
    <col min="11739" max="11739" width="2.375" style="363" customWidth="1"/>
    <col min="11740" max="11740" width="9.5" style="363" bestFit="1" customWidth="1"/>
    <col min="11741" max="11741" width="7" style="363" bestFit="1" customWidth="1"/>
    <col min="11742" max="11742" width="1.75" style="363" customWidth="1"/>
    <col min="11743" max="11743" width="8.875" style="363" bestFit="1" customWidth="1"/>
    <col min="11744" max="11744" width="2" style="363" customWidth="1"/>
    <col min="11745" max="11745" width="8.875" style="363" bestFit="1" customWidth="1"/>
    <col min="11746" max="11746" width="6.375" style="363" bestFit="1" customWidth="1"/>
    <col min="11747" max="11747" width="1.375" style="363" customWidth="1"/>
    <col min="11748" max="11748" width="8.5" style="363" bestFit="1" customWidth="1"/>
    <col min="11749" max="11749" width="6.375" style="363" bestFit="1" customWidth="1"/>
    <col min="11750" max="11750" width="1.75" style="363" customWidth="1"/>
    <col min="11751" max="11751" width="9.5" style="363" bestFit="1" customWidth="1"/>
    <col min="11752" max="11752" width="7" style="363" bestFit="1" customWidth="1"/>
    <col min="11753" max="11753" width="1.625" style="363" customWidth="1"/>
    <col min="11754" max="11754" width="7.25" style="363" bestFit="1" customWidth="1"/>
    <col min="11755" max="11755" width="2.625" style="363" customWidth="1"/>
    <col min="11756" max="11756" width="13.25" style="363" customWidth="1"/>
    <col min="11757" max="11757" width="6.375" style="363" bestFit="1" customWidth="1"/>
    <col min="11758" max="11758" width="1.75" style="363" customWidth="1"/>
    <col min="11759" max="11759" width="8.5" style="363"/>
    <col min="11760" max="11760" width="42.25" style="363" bestFit="1" customWidth="1"/>
    <col min="11761" max="11761" width="1.25" style="363" customWidth="1"/>
    <col min="11762" max="11762" width="11.625" style="363" customWidth="1"/>
    <col min="11763" max="11763" width="1.25" style="363" customWidth="1"/>
    <col min="11764" max="11764" width="9.625" style="363" customWidth="1"/>
    <col min="11765" max="11765" width="8.125" style="363" customWidth="1"/>
    <col min="11766" max="11766" width="1.25" style="363" customWidth="1"/>
    <col min="11767" max="11767" width="8.125" style="363" customWidth="1"/>
    <col min="11768" max="11768" width="1.625" style="363" customWidth="1"/>
    <col min="11769" max="11769" width="8" style="363" bestFit="1" customWidth="1"/>
    <col min="11770" max="11770" width="9.75" style="363" bestFit="1" customWidth="1"/>
    <col min="11771" max="11985" width="7" style="363" customWidth="1"/>
    <col min="11986" max="11986" width="20.75" style="363" customWidth="1"/>
    <col min="11987" max="11987" width="1.875" style="363" customWidth="1"/>
    <col min="11988" max="11988" width="14.25" style="363" customWidth="1"/>
    <col min="11989" max="11989" width="4.25" style="363" customWidth="1"/>
    <col min="11990" max="11990" width="8.875" style="363" bestFit="1" customWidth="1"/>
    <col min="11991" max="11991" width="6.375" style="363" bestFit="1" customWidth="1"/>
    <col min="11992" max="11992" width="2.125" style="363" customWidth="1"/>
    <col min="11993" max="11993" width="8.5" style="363" bestFit="1" customWidth="1"/>
    <col min="11994" max="11994" width="6.375" style="363" bestFit="1" customWidth="1"/>
    <col min="11995" max="11995" width="2.375" style="363" customWidth="1"/>
    <col min="11996" max="11996" width="9.5" style="363" bestFit="1" customWidth="1"/>
    <col min="11997" max="11997" width="7" style="363" bestFit="1" customWidth="1"/>
    <col min="11998" max="11998" width="1.75" style="363" customWidth="1"/>
    <col min="11999" max="11999" width="8.875" style="363" bestFit="1" customWidth="1"/>
    <col min="12000" max="12000" width="2" style="363" customWidth="1"/>
    <col min="12001" max="12001" width="8.875" style="363" bestFit="1" customWidth="1"/>
    <col min="12002" max="12002" width="6.375" style="363" bestFit="1" customWidth="1"/>
    <col min="12003" max="12003" width="1.375" style="363" customWidth="1"/>
    <col min="12004" max="12004" width="8.5" style="363" bestFit="1" customWidth="1"/>
    <col min="12005" max="12005" width="6.375" style="363" bestFit="1" customWidth="1"/>
    <col min="12006" max="12006" width="1.75" style="363" customWidth="1"/>
    <col min="12007" max="12007" width="9.5" style="363" bestFit="1" customWidth="1"/>
    <col min="12008" max="12008" width="7" style="363" bestFit="1" customWidth="1"/>
    <col min="12009" max="12009" width="1.625" style="363" customWidth="1"/>
    <col min="12010" max="12010" width="7.25" style="363" bestFit="1" customWidth="1"/>
    <col min="12011" max="12011" width="2.625" style="363" customWidth="1"/>
    <col min="12012" max="12012" width="13.25" style="363" customWidth="1"/>
    <col min="12013" max="12013" width="6.375" style="363" bestFit="1" customWidth="1"/>
    <col min="12014" max="12014" width="1.75" style="363" customWidth="1"/>
    <col min="12015" max="12015" width="8.5" style="363"/>
    <col min="12016" max="12016" width="42.25" style="363" bestFit="1" customWidth="1"/>
    <col min="12017" max="12017" width="1.25" style="363" customWidth="1"/>
    <col min="12018" max="12018" width="11.625" style="363" customWidth="1"/>
    <col min="12019" max="12019" width="1.25" style="363" customWidth="1"/>
    <col min="12020" max="12020" width="9.625" style="363" customWidth="1"/>
    <col min="12021" max="12021" width="8.125" style="363" customWidth="1"/>
    <col min="12022" max="12022" width="1.25" style="363" customWidth="1"/>
    <col min="12023" max="12023" width="8.125" style="363" customWidth="1"/>
    <col min="12024" max="12024" width="1.625" style="363" customWidth="1"/>
    <col min="12025" max="12025" width="8" style="363" bestFit="1" customWidth="1"/>
    <col min="12026" max="12026" width="9.75" style="363" bestFit="1" customWidth="1"/>
    <col min="12027" max="12241" width="7" style="363" customWidth="1"/>
    <col min="12242" max="12242" width="20.75" style="363" customWidth="1"/>
    <col min="12243" max="12243" width="1.875" style="363" customWidth="1"/>
    <col min="12244" max="12244" width="14.25" style="363" customWidth="1"/>
    <col min="12245" max="12245" width="4.25" style="363" customWidth="1"/>
    <col min="12246" max="12246" width="8.875" style="363" bestFit="1" customWidth="1"/>
    <col min="12247" max="12247" width="6.375" style="363" bestFit="1" customWidth="1"/>
    <col min="12248" max="12248" width="2.125" style="363" customWidth="1"/>
    <col min="12249" max="12249" width="8.5" style="363" bestFit="1" customWidth="1"/>
    <col min="12250" max="12250" width="6.375" style="363" bestFit="1" customWidth="1"/>
    <col min="12251" max="12251" width="2.375" style="363" customWidth="1"/>
    <col min="12252" max="12252" width="9.5" style="363" bestFit="1" customWidth="1"/>
    <col min="12253" max="12253" width="7" style="363" bestFit="1" customWidth="1"/>
    <col min="12254" max="12254" width="1.75" style="363" customWidth="1"/>
    <col min="12255" max="12255" width="8.875" style="363" bestFit="1" customWidth="1"/>
    <col min="12256" max="12256" width="2" style="363" customWidth="1"/>
    <col min="12257" max="12257" width="8.875" style="363" bestFit="1" customWidth="1"/>
    <col min="12258" max="12258" width="6.375" style="363" bestFit="1" customWidth="1"/>
    <col min="12259" max="12259" width="1.375" style="363" customWidth="1"/>
    <col min="12260" max="12260" width="8.5" style="363" bestFit="1" customWidth="1"/>
    <col min="12261" max="12261" width="6.375" style="363" bestFit="1" customWidth="1"/>
    <col min="12262" max="12262" width="1.75" style="363" customWidth="1"/>
    <col min="12263" max="12263" width="9.5" style="363" bestFit="1" customWidth="1"/>
    <col min="12264" max="12264" width="7" style="363" bestFit="1" customWidth="1"/>
    <col min="12265" max="12265" width="1.625" style="363" customWidth="1"/>
    <col min="12266" max="12266" width="7.25" style="363" bestFit="1" customWidth="1"/>
    <col min="12267" max="12267" width="2.625" style="363" customWidth="1"/>
    <col min="12268" max="12268" width="13.25" style="363" customWidth="1"/>
    <col min="12269" max="12269" width="6.375" style="363" bestFit="1" customWidth="1"/>
    <col min="12270" max="12270" width="1.75" style="363" customWidth="1"/>
    <col min="12271" max="12271" width="8.5" style="363"/>
    <col min="12272" max="12272" width="42.25" style="363" bestFit="1" customWidth="1"/>
    <col min="12273" max="12273" width="1.25" style="363" customWidth="1"/>
    <col min="12274" max="12274" width="11.625" style="363" customWidth="1"/>
    <col min="12275" max="12275" width="1.25" style="363" customWidth="1"/>
    <col min="12276" max="12276" width="9.625" style="363" customWidth="1"/>
    <col min="12277" max="12277" width="8.125" style="363" customWidth="1"/>
    <col min="12278" max="12278" width="1.25" style="363" customWidth="1"/>
    <col min="12279" max="12279" width="8.125" style="363" customWidth="1"/>
    <col min="12280" max="12280" width="1.625" style="363" customWidth="1"/>
    <col min="12281" max="12281" width="8" style="363" bestFit="1" customWidth="1"/>
    <col min="12282" max="12282" width="9.75" style="363" bestFit="1" customWidth="1"/>
    <col min="12283" max="12497" width="7" style="363" customWidth="1"/>
    <col min="12498" max="12498" width="20.75" style="363" customWidth="1"/>
    <col min="12499" max="12499" width="1.875" style="363" customWidth="1"/>
    <col min="12500" max="12500" width="14.25" style="363" customWidth="1"/>
    <col min="12501" max="12501" width="4.25" style="363" customWidth="1"/>
    <col min="12502" max="12502" width="8.875" style="363" bestFit="1" customWidth="1"/>
    <col min="12503" max="12503" width="6.375" style="363" bestFit="1" customWidth="1"/>
    <col min="12504" max="12504" width="2.125" style="363" customWidth="1"/>
    <col min="12505" max="12505" width="8.5" style="363" bestFit="1" customWidth="1"/>
    <col min="12506" max="12506" width="6.375" style="363" bestFit="1" customWidth="1"/>
    <col min="12507" max="12507" width="2.375" style="363" customWidth="1"/>
    <col min="12508" max="12508" width="9.5" style="363" bestFit="1" customWidth="1"/>
    <col min="12509" max="12509" width="7" style="363" bestFit="1" customWidth="1"/>
    <col min="12510" max="12510" width="1.75" style="363" customWidth="1"/>
    <col min="12511" max="12511" width="8.875" style="363" bestFit="1" customWidth="1"/>
    <col min="12512" max="12512" width="2" style="363" customWidth="1"/>
    <col min="12513" max="12513" width="8.875" style="363" bestFit="1" customWidth="1"/>
    <col min="12514" max="12514" width="6.375" style="363" bestFit="1" customWidth="1"/>
    <col min="12515" max="12515" width="1.375" style="363" customWidth="1"/>
    <col min="12516" max="12516" width="8.5" style="363" bestFit="1" customWidth="1"/>
    <col min="12517" max="12517" width="6.375" style="363" bestFit="1" customWidth="1"/>
    <col min="12518" max="12518" width="1.75" style="363" customWidth="1"/>
    <col min="12519" max="12519" width="9.5" style="363" bestFit="1" customWidth="1"/>
    <col min="12520" max="12520" width="7" style="363" bestFit="1" customWidth="1"/>
    <col min="12521" max="12521" width="1.625" style="363" customWidth="1"/>
    <col min="12522" max="12522" width="7.25" style="363" bestFit="1" customWidth="1"/>
    <col min="12523" max="12523" width="2.625" style="363" customWidth="1"/>
    <col min="12524" max="12524" width="13.25" style="363" customWidth="1"/>
    <col min="12525" max="12525" width="6.375" style="363" bestFit="1" customWidth="1"/>
    <col min="12526" max="12526" width="1.75" style="363" customWidth="1"/>
    <col min="12527" max="12527" width="8.5" style="363"/>
    <col min="12528" max="12528" width="42.25" style="363" bestFit="1" customWidth="1"/>
    <col min="12529" max="12529" width="1.25" style="363" customWidth="1"/>
    <col min="12530" max="12530" width="11.625" style="363" customWidth="1"/>
    <col min="12531" max="12531" width="1.25" style="363" customWidth="1"/>
    <col min="12532" max="12532" width="9.625" style="363" customWidth="1"/>
    <col min="12533" max="12533" width="8.125" style="363" customWidth="1"/>
    <col min="12534" max="12534" width="1.25" style="363" customWidth="1"/>
    <col min="12535" max="12535" width="8.125" style="363" customWidth="1"/>
    <col min="12536" max="12536" width="1.625" style="363" customWidth="1"/>
    <col min="12537" max="12537" width="8" style="363" bestFit="1" customWidth="1"/>
    <col min="12538" max="12538" width="9.75" style="363" bestFit="1" customWidth="1"/>
    <col min="12539" max="12753" width="7" style="363" customWidth="1"/>
    <col min="12754" max="12754" width="20.75" style="363" customWidth="1"/>
    <col min="12755" max="12755" width="1.875" style="363" customWidth="1"/>
    <col min="12756" max="12756" width="14.25" style="363" customWidth="1"/>
    <col min="12757" max="12757" width="4.25" style="363" customWidth="1"/>
    <col min="12758" max="12758" width="8.875" style="363" bestFit="1" customWidth="1"/>
    <col min="12759" max="12759" width="6.375" style="363" bestFit="1" customWidth="1"/>
    <col min="12760" max="12760" width="2.125" style="363" customWidth="1"/>
    <col min="12761" max="12761" width="8.5" style="363" bestFit="1" customWidth="1"/>
    <col min="12762" max="12762" width="6.375" style="363" bestFit="1" customWidth="1"/>
    <col min="12763" max="12763" width="2.375" style="363" customWidth="1"/>
    <col min="12764" max="12764" width="9.5" style="363" bestFit="1" customWidth="1"/>
    <col min="12765" max="12765" width="7" style="363" bestFit="1" customWidth="1"/>
    <col min="12766" max="12766" width="1.75" style="363" customWidth="1"/>
    <col min="12767" max="12767" width="8.875" style="363" bestFit="1" customWidth="1"/>
    <col min="12768" max="12768" width="2" style="363" customWidth="1"/>
    <col min="12769" max="12769" width="8.875" style="363" bestFit="1" customWidth="1"/>
    <col min="12770" max="12770" width="6.375" style="363" bestFit="1" customWidth="1"/>
    <col min="12771" max="12771" width="1.375" style="363" customWidth="1"/>
    <col min="12772" max="12772" width="8.5" style="363" bestFit="1" customWidth="1"/>
    <col min="12773" max="12773" width="6.375" style="363" bestFit="1" customWidth="1"/>
    <col min="12774" max="12774" width="1.75" style="363" customWidth="1"/>
    <col min="12775" max="12775" width="9.5" style="363" bestFit="1" customWidth="1"/>
    <col min="12776" max="12776" width="7" style="363" bestFit="1" customWidth="1"/>
    <col min="12777" max="12777" width="1.625" style="363" customWidth="1"/>
    <col min="12778" max="12778" width="7.25" style="363" bestFit="1" customWidth="1"/>
    <col min="12779" max="12779" width="2.625" style="363" customWidth="1"/>
    <col min="12780" max="12780" width="13.25" style="363" customWidth="1"/>
    <col min="12781" max="12781" width="6.375" style="363" bestFit="1" customWidth="1"/>
    <col min="12782" max="12782" width="1.75" style="363" customWidth="1"/>
    <col min="12783" max="12783" width="8.5" style="363"/>
    <col min="12784" max="12784" width="42.25" style="363" bestFit="1" customWidth="1"/>
    <col min="12785" max="12785" width="1.25" style="363" customWidth="1"/>
    <col min="12786" max="12786" width="11.625" style="363" customWidth="1"/>
    <col min="12787" max="12787" width="1.25" style="363" customWidth="1"/>
    <col min="12788" max="12788" width="9.625" style="363" customWidth="1"/>
    <col min="12789" max="12789" width="8.125" style="363" customWidth="1"/>
    <col min="12790" max="12790" width="1.25" style="363" customWidth="1"/>
    <col min="12791" max="12791" width="8.125" style="363" customWidth="1"/>
    <col min="12792" max="12792" width="1.625" style="363" customWidth="1"/>
    <col min="12793" max="12793" width="8" style="363" bestFit="1" customWidth="1"/>
    <col min="12794" max="12794" width="9.75" style="363" bestFit="1" customWidth="1"/>
    <col min="12795" max="13009" width="7" style="363" customWidth="1"/>
    <col min="13010" max="13010" width="20.75" style="363" customWidth="1"/>
    <col min="13011" max="13011" width="1.875" style="363" customWidth="1"/>
    <col min="13012" max="13012" width="14.25" style="363" customWidth="1"/>
    <col min="13013" max="13013" width="4.25" style="363" customWidth="1"/>
    <col min="13014" max="13014" width="8.875" style="363" bestFit="1" customWidth="1"/>
    <col min="13015" max="13015" width="6.375" style="363" bestFit="1" customWidth="1"/>
    <col min="13016" max="13016" width="2.125" style="363" customWidth="1"/>
    <col min="13017" max="13017" width="8.5" style="363" bestFit="1" customWidth="1"/>
    <col min="13018" max="13018" width="6.375" style="363" bestFit="1" customWidth="1"/>
    <col min="13019" max="13019" width="2.375" style="363" customWidth="1"/>
    <col min="13020" max="13020" width="9.5" style="363" bestFit="1" customWidth="1"/>
    <col min="13021" max="13021" width="7" style="363" bestFit="1" customWidth="1"/>
    <col min="13022" max="13022" width="1.75" style="363" customWidth="1"/>
    <col min="13023" max="13023" width="8.875" style="363" bestFit="1" customWidth="1"/>
    <col min="13024" max="13024" width="2" style="363" customWidth="1"/>
    <col min="13025" max="13025" width="8.875" style="363" bestFit="1" customWidth="1"/>
    <col min="13026" max="13026" width="6.375" style="363" bestFit="1" customWidth="1"/>
    <col min="13027" max="13027" width="1.375" style="363" customWidth="1"/>
    <col min="13028" max="13028" width="8.5" style="363" bestFit="1" customWidth="1"/>
    <col min="13029" max="13029" width="6.375" style="363" bestFit="1" customWidth="1"/>
    <col min="13030" max="13030" width="1.75" style="363" customWidth="1"/>
    <col min="13031" max="13031" width="9.5" style="363" bestFit="1" customWidth="1"/>
    <col min="13032" max="13032" width="7" style="363" bestFit="1" customWidth="1"/>
    <col min="13033" max="13033" width="1.625" style="363" customWidth="1"/>
    <col min="13034" max="13034" width="7.25" style="363" bestFit="1" customWidth="1"/>
    <col min="13035" max="13035" width="2.625" style="363" customWidth="1"/>
    <col min="13036" max="13036" width="13.25" style="363" customWidth="1"/>
    <col min="13037" max="13037" width="6.375" style="363" bestFit="1" customWidth="1"/>
    <col min="13038" max="13038" width="1.75" style="363" customWidth="1"/>
    <col min="13039" max="13039" width="8.5" style="363"/>
    <col min="13040" max="13040" width="42.25" style="363" bestFit="1" customWidth="1"/>
    <col min="13041" max="13041" width="1.25" style="363" customWidth="1"/>
    <col min="13042" max="13042" width="11.625" style="363" customWidth="1"/>
    <col min="13043" max="13043" width="1.25" style="363" customWidth="1"/>
    <col min="13044" max="13044" width="9.625" style="363" customWidth="1"/>
    <col min="13045" max="13045" width="8.125" style="363" customWidth="1"/>
    <col min="13046" max="13046" width="1.25" style="363" customWidth="1"/>
    <col min="13047" max="13047" width="8.125" style="363" customWidth="1"/>
    <col min="13048" max="13048" width="1.625" style="363" customWidth="1"/>
    <col min="13049" max="13049" width="8" style="363" bestFit="1" customWidth="1"/>
    <col min="13050" max="13050" width="9.75" style="363" bestFit="1" customWidth="1"/>
    <col min="13051" max="13265" width="7" style="363" customWidth="1"/>
    <col min="13266" max="13266" width="20.75" style="363" customWidth="1"/>
    <col min="13267" max="13267" width="1.875" style="363" customWidth="1"/>
    <col min="13268" max="13268" width="14.25" style="363" customWidth="1"/>
    <col min="13269" max="13269" width="4.25" style="363" customWidth="1"/>
    <col min="13270" max="13270" width="8.875" style="363" bestFit="1" customWidth="1"/>
    <col min="13271" max="13271" width="6.375" style="363" bestFit="1" customWidth="1"/>
    <col min="13272" max="13272" width="2.125" style="363" customWidth="1"/>
    <col min="13273" max="13273" width="8.5" style="363" bestFit="1" customWidth="1"/>
    <col min="13274" max="13274" width="6.375" style="363" bestFit="1" customWidth="1"/>
    <col min="13275" max="13275" width="2.375" style="363" customWidth="1"/>
    <col min="13276" max="13276" width="9.5" style="363" bestFit="1" customWidth="1"/>
    <col min="13277" max="13277" width="7" style="363" bestFit="1" customWidth="1"/>
    <col min="13278" max="13278" width="1.75" style="363" customWidth="1"/>
    <col min="13279" max="13279" width="8.875" style="363" bestFit="1" customWidth="1"/>
    <col min="13280" max="13280" width="2" style="363" customWidth="1"/>
    <col min="13281" max="13281" width="8.875" style="363" bestFit="1" customWidth="1"/>
    <col min="13282" max="13282" width="6.375" style="363" bestFit="1" customWidth="1"/>
    <col min="13283" max="13283" width="1.375" style="363" customWidth="1"/>
    <col min="13284" max="13284" width="8.5" style="363" bestFit="1" customWidth="1"/>
    <col min="13285" max="13285" width="6.375" style="363" bestFit="1" customWidth="1"/>
    <col min="13286" max="13286" width="1.75" style="363" customWidth="1"/>
    <col min="13287" max="13287" width="9.5" style="363" bestFit="1" customWidth="1"/>
    <col min="13288" max="13288" width="7" style="363" bestFit="1" customWidth="1"/>
    <col min="13289" max="13289" width="1.625" style="363" customWidth="1"/>
    <col min="13290" max="13290" width="7.25" style="363" bestFit="1" customWidth="1"/>
    <col min="13291" max="13291" width="2.625" style="363" customWidth="1"/>
    <col min="13292" max="13292" width="13.25" style="363" customWidth="1"/>
    <col min="13293" max="13293" width="6.375" style="363" bestFit="1" customWidth="1"/>
    <col min="13294" max="13294" width="1.75" style="363" customWidth="1"/>
    <col min="13295" max="13295" width="8.5" style="363"/>
    <col min="13296" max="13296" width="42.25" style="363" bestFit="1" customWidth="1"/>
    <col min="13297" max="13297" width="1.25" style="363" customWidth="1"/>
    <col min="13298" max="13298" width="11.625" style="363" customWidth="1"/>
    <col min="13299" max="13299" width="1.25" style="363" customWidth="1"/>
    <col min="13300" max="13300" width="9.625" style="363" customWidth="1"/>
    <col min="13301" max="13301" width="8.125" style="363" customWidth="1"/>
    <col min="13302" max="13302" width="1.25" style="363" customWidth="1"/>
    <col min="13303" max="13303" width="8.125" style="363" customWidth="1"/>
    <col min="13304" max="13304" width="1.625" style="363" customWidth="1"/>
    <col min="13305" max="13305" width="8" style="363" bestFit="1" customWidth="1"/>
    <col min="13306" max="13306" width="9.75" style="363" bestFit="1" customWidth="1"/>
    <col min="13307" max="13521" width="7" style="363" customWidth="1"/>
    <col min="13522" max="13522" width="20.75" style="363" customWidth="1"/>
    <col min="13523" max="13523" width="1.875" style="363" customWidth="1"/>
    <col min="13524" max="13524" width="14.25" style="363" customWidth="1"/>
    <col min="13525" max="13525" width="4.25" style="363" customWidth="1"/>
    <col min="13526" max="13526" width="8.875" style="363" bestFit="1" customWidth="1"/>
    <col min="13527" max="13527" width="6.375" style="363" bestFit="1" customWidth="1"/>
    <col min="13528" max="13528" width="2.125" style="363" customWidth="1"/>
    <col min="13529" max="13529" width="8.5" style="363" bestFit="1" customWidth="1"/>
    <col min="13530" max="13530" width="6.375" style="363" bestFit="1" customWidth="1"/>
    <col min="13531" max="13531" width="2.375" style="363" customWidth="1"/>
    <col min="13532" max="13532" width="9.5" style="363" bestFit="1" customWidth="1"/>
    <col min="13533" max="13533" width="7" style="363" bestFit="1" customWidth="1"/>
    <col min="13534" max="13534" width="1.75" style="363" customWidth="1"/>
    <col min="13535" max="13535" width="8.875" style="363" bestFit="1" customWidth="1"/>
    <col min="13536" max="13536" width="2" style="363" customWidth="1"/>
    <col min="13537" max="13537" width="8.875" style="363" bestFit="1" customWidth="1"/>
    <col min="13538" max="13538" width="6.375" style="363" bestFit="1" customWidth="1"/>
    <col min="13539" max="13539" width="1.375" style="363" customWidth="1"/>
    <col min="13540" max="13540" width="8.5" style="363" bestFit="1" customWidth="1"/>
    <col min="13541" max="13541" width="6.375" style="363" bestFit="1" customWidth="1"/>
    <col min="13542" max="13542" width="1.75" style="363" customWidth="1"/>
    <col min="13543" max="13543" width="9.5" style="363" bestFit="1" customWidth="1"/>
    <col min="13544" max="13544" width="7" style="363" bestFit="1" customWidth="1"/>
    <col min="13545" max="13545" width="1.625" style="363" customWidth="1"/>
    <col min="13546" max="13546" width="7.25" style="363" bestFit="1" customWidth="1"/>
    <col min="13547" max="13547" width="2.625" style="363" customWidth="1"/>
    <col min="13548" max="13548" width="13.25" style="363" customWidth="1"/>
    <col min="13549" max="13549" width="6.375" style="363" bestFit="1" customWidth="1"/>
    <col min="13550" max="13550" width="1.75" style="363" customWidth="1"/>
    <col min="13551" max="13551" width="8.5" style="363"/>
    <col min="13552" max="13552" width="42.25" style="363" bestFit="1" customWidth="1"/>
    <col min="13553" max="13553" width="1.25" style="363" customWidth="1"/>
    <col min="13554" max="13554" width="11.625" style="363" customWidth="1"/>
    <col min="13555" max="13555" width="1.25" style="363" customWidth="1"/>
    <col min="13556" max="13556" width="9.625" style="363" customWidth="1"/>
    <col min="13557" max="13557" width="8.125" style="363" customWidth="1"/>
    <col min="13558" max="13558" width="1.25" style="363" customWidth="1"/>
    <col min="13559" max="13559" width="8.125" style="363" customWidth="1"/>
    <col min="13560" max="13560" width="1.625" style="363" customWidth="1"/>
    <col min="13561" max="13561" width="8" style="363" bestFit="1" customWidth="1"/>
    <col min="13562" max="13562" width="9.75" style="363" bestFit="1" customWidth="1"/>
    <col min="13563" max="13777" width="7" style="363" customWidth="1"/>
    <col min="13778" max="13778" width="20.75" style="363" customWidth="1"/>
    <col min="13779" max="13779" width="1.875" style="363" customWidth="1"/>
    <col min="13780" max="13780" width="14.25" style="363" customWidth="1"/>
    <col min="13781" max="13781" width="4.25" style="363" customWidth="1"/>
    <col min="13782" max="13782" width="8.875" style="363" bestFit="1" customWidth="1"/>
    <col min="13783" max="13783" width="6.375" style="363" bestFit="1" customWidth="1"/>
    <col min="13784" max="13784" width="2.125" style="363" customWidth="1"/>
    <col min="13785" max="13785" width="8.5" style="363" bestFit="1" customWidth="1"/>
    <col min="13786" max="13786" width="6.375" style="363" bestFit="1" customWidth="1"/>
    <col min="13787" max="13787" width="2.375" style="363" customWidth="1"/>
    <col min="13788" max="13788" width="9.5" style="363" bestFit="1" customWidth="1"/>
    <col min="13789" max="13789" width="7" style="363" bestFit="1" customWidth="1"/>
    <col min="13790" max="13790" width="1.75" style="363" customWidth="1"/>
    <col min="13791" max="13791" width="8.875" style="363" bestFit="1" customWidth="1"/>
    <col min="13792" max="13792" width="2" style="363" customWidth="1"/>
    <col min="13793" max="13793" width="8.875" style="363" bestFit="1" customWidth="1"/>
    <col min="13794" max="13794" width="6.375" style="363" bestFit="1" customWidth="1"/>
    <col min="13795" max="13795" width="1.375" style="363" customWidth="1"/>
    <col min="13796" max="13796" width="8.5" style="363" bestFit="1" customWidth="1"/>
    <col min="13797" max="13797" width="6.375" style="363" bestFit="1" customWidth="1"/>
    <col min="13798" max="13798" width="1.75" style="363" customWidth="1"/>
    <col min="13799" max="13799" width="9.5" style="363" bestFit="1" customWidth="1"/>
    <col min="13800" max="13800" width="7" style="363" bestFit="1" customWidth="1"/>
    <col min="13801" max="13801" width="1.625" style="363" customWidth="1"/>
    <col min="13802" max="13802" width="7.25" style="363" bestFit="1" customWidth="1"/>
    <col min="13803" max="13803" width="2.625" style="363" customWidth="1"/>
    <col min="13804" max="13804" width="13.25" style="363" customWidth="1"/>
    <col min="13805" max="13805" width="6.375" style="363" bestFit="1" customWidth="1"/>
    <col min="13806" max="13806" width="1.75" style="363" customWidth="1"/>
    <col min="13807" max="13807" width="8.5" style="363"/>
    <col min="13808" max="13808" width="42.25" style="363" bestFit="1" customWidth="1"/>
    <col min="13809" max="13809" width="1.25" style="363" customWidth="1"/>
    <col min="13810" max="13810" width="11.625" style="363" customWidth="1"/>
    <col min="13811" max="13811" width="1.25" style="363" customWidth="1"/>
    <col min="13812" max="13812" width="9.625" style="363" customWidth="1"/>
    <col min="13813" max="13813" width="8.125" style="363" customWidth="1"/>
    <col min="13814" max="13814" width="1.25" style="363" customWidth="1"/>
    <col min="13815" max="13815" width="8.125" style="363" customWidth="1"/>
    <col min="13816" max="13816" width="1.625" style="363" customWidth="1"/>
    <col min="13817" max="13817" width="8" style="363" bestFit="1" customWidth="1"/>
    <col min="13818" max="13818" width="9.75" style="363" bestFit="1" customWidth="1"/>
    <col min="13819" max="14033" width="7" style="363" customWidth="1"/>
    <col min="14034" max="14034" width="20.75" style="363" customWidth="1"/>
    <col min="14035" max="14035" width="1.875" style="363" customWidth="1"/>
    <col min="14036" max="14036" width="14.25" style="363" customWidth="1"/>
    <col min="14037" max="14037" width="4.25" style="363" customWidth="1"/>
    <col min="14038" max="14038" width="8.875" style="363" bestFit="1" customWidth="1"/>
    <col min="14039" max="14039" width="6.375" style="363" bestFit="1" customWidth="1"/>
    <col min="14040" max="14040" width="2.125" style="363" customWidth="1"/>
    <col min="14041" max="14041" width="8.5" style="363" bestFit="1" customWidth="1"/>
    <col min="14042" max="14042" width="6.375" style="363" bestFit="1" customWidth="1"/>
    <col min="14043" max="14043" width="2.375" style="363" customWidth="1"/>
    <col min="14044" max="14044" width="9.5" style="363" bestFit="1" customWidth="1"/>
    <col min="14045" max="14045" width="7" style="363" bestFit="1" customWidth="1"/>
    <col min="14046" max="14046" width="1.75" style="363" customWidth="1"/>
    <col min="14047" max="14047" width="8.875" style="363" bestFit="1" customWidth="1"/>
    <col min="14048" max="14048" width="2" style="363" customWidth="1"/>
    <col min="14049" max="14049" width="8.875" style="363" bestFit="1" customWidth="1"/>
    <col min="14050" max="14050" width="6.375" style="363" bestFit="1" customWidth="1"/>
    <col min="14051" max="14051" width="1.375" style="363" customWidth="1"/>
    <col min="14052" max="14052" width="8.5" style="363" bestFit="1" customWidth="1"/>
    <col min="14053" max="14053" width="6.375" style="363" bestFit="1" customWidth="1"/>
    <col min="14054" max="14054" width="1.75" style="363" customWidth="1"/>
    <col min="14055" max="14055" width="9.5" style="363" bestFit="1" customWidth="1"/>
    <col min="14056" max="14056" width="7" style="363" bestFit="1" customWidth="1"/>
    <col min="14057" max="14057" width="1.625" style="363" customWidth="1"/>
    <col min="14058" max="14058" width="7.25" style="363" bestFit="1" customWidth="1"/>
    <col min="14059" max="14059" width="2.625" style="363" customWidth="1"/>
    <col min="14060" max="14060" width="13.25" style="363" customWidth="1"/>
    <col min="14061" max="14061" width="6.375" style="363" bestFit="1" customWidth="1"/>
    <col min="14062" max="14062" width="1.75" style="363" customWidth="1"/>
    <col min="14063" max="14063" width="8.5" style="363"/>
    <col min="14064" max="14064" width="42.25" style="363" bestFit="1" customWidth="1"/>
    <col min="14065" max="14065" width="1.25" style="363" customWidth="1"/>
    <col min="14066" max="14066" width="11.625" style="363" customWidth="1"/>
    <col min="14067" max="14067" width="1.25" style="363" customWidth="1"/>
    <col min="14068" max="14068" width="9.625" style="363" customWidth="1"/>
    <col min="14069" max="14069" width="8.125" style="363" customWidth="1"/>
    <col min="14070" max="14070" width="1.25" style="363" customWidth="1"/>
    <col min="14071" max="14071" width="8.125" style="363" customWidth="1"/>
    <col min="14072" max="14072" width="1.625" style="363" customWidth="1"/>
    <col min="14073" max="14073" width="8" style="363" bestFit="1" customWidth="1"/>
    <col min="14074" max="14074" width="9.75" style="363" bestFit="1" customWidth="1"/>
    <col min="14075" max="14289" width="7" style="363" customWidth="1"/>
    <col min="14290" max="14290" width="20.75" style="363" customWidth="1"/>
    <col min="14291" max="14291" width="1.875" style="363" customWidth="1"/>
    <col min="14292" max="14292" width="14.25" style="363" customWidth="1"/>
    <col min="14293" max="14293" width="4.25" style="363" customWidth="1"/>
    <col min="14294" max="14294" width="8.875" style="363" bestFit="1" customWidth="1"/>
    <col min="14295" max="14295" width="6.375" style="363" bestFit="1" customWidth="1"/>
    <col min="14296" max="14296" width="2.125" style="363" customWidth="1"/>
    <col min="14297" max="14297" width="8.5" style="363" bestFit="1" customWidth="1"/>
    <col min="14298" max="14298" width="6.375" style="363" bestFit="1" customWidth="1"/>
    <col min="14299" max="14299" width="2.375" style="363" customWidth="1"/>
    <col min="14300" max="14300" width="9.5" style="363" bestFit="1" customWidth="1"/>
    <col min="14301" max="14301" width="7" style="363" bestFit="1" customWidth="1"/>
    <col min="14302" max="14302" width="1.75" style="363" customWidth="1"/>
    <col min="14303" max="14303" width="8.875" style="363" bestFit="1" customWidth="1"/>
    <col min="14304" max="14304" width="2" style="363" customWidth="1"/>
    <col min="14305" max="14305" width="8.875" style="363" bestFit="1" customWidth="1"/>
    <col min="14306" max="14306" width="6.375" style="363" bestFit="1" customWidth="1"/>
    <col min="14307" max="14307" width="1.375" style="363" customWidth="1"/>
    <col min="14308" max="14308" width="8.5" style="363" bestFit="1" customWidth="1"/>
    <col min="14309" max="14309" width="6.375" style="363" bestFit="1" customWidth="1"/>
    <col min="14310" max="14310" width="1.75" style="363" customWidth="1"/>
    <col min="14311" max="14311" width="9.5" style="363" bestFit="1" customWidth="1"/>
    <col min="14312" max="14312" width="7" style="363" bestFit="1" customWidth="1"/>
    <col min="14313" max="14313" width="1.625" style="363" customWidth="1"/>
    <col min="14314" max="14314" width="7.25" style="363" bestFit="1" customWidth="1"/>
    <col min="14315" max="14315" width="2.625" style="363" customWidth="1"/>
    <col min="14316" max="14316" width="13.25" style="363" customWidth="1"/>
    <col min="14317" max="14317" width="6.375" style="363" bestFit="1" customWidth="1"/>
    <col min="14318" max="14318" width="1.75" style="363" customWidth="1"/>
    <col min="14319" max="14319" width="8.5" style="363"/>
    <col min="14320" max="14320" width="42.25" style="363" bestFit="1" customWidth="1"/>
    <col min="14321" max="14321" width="1.25" style="363" customWidth="1"/>
    <col min="14322" max="14322" width="11.625" style="363" customWidth="1"/>
    <col min="14323" max="14323" width="1.25" style="363" customWidth="1"/>
    <col min="14324" max="14324" width="9.625" style="363" customWidth="1"/>
    <col min="14325" max="14325" width="8.125" style="363" customWidth="1"/>
    <col min="14326" max="14326" width="1.25" style="363" customWidth="1"/>
    <col min="14327" max="14327" width="8.125" style="363" customWidth="1"/>
    <col min="14328" max="14328" width="1.625" style="363" customWidth="1"/>
    <col min="14329" max="14329" width="8" style="363" bestFit="1" customWidth="1"/>
    <col min="14330" max="14330" width="9.75" style="363" bestFit="1" customWidth="1"/>
    <col min="14331" max="14545" width="7" style="363" customWidth="1"/>
    <col min="14546" max="14546" width="20.75" style="363" customWidth="1"/>
    <col min="14547" max="14547" width="1.875" style="363" customWidth="1"/>
    <col min="14548" max="14548" width="14.25" style="363" customWidth="1"/>
    <col min="14549" max="14549" width="4.25" style="363" customWidth="1"/>
    <col min="14550" max="14550" width="8.875" style="363" bestFit="1" customWidth="1"/>
    <col min="14551" max="14551" width="6.375" style="363" bestFit="1" customWidth="1"/>
    <col min="14552" max="14552" width="2.125" style="363" customWidth="1"/>
    <col min="14553" max="14553" width="8.5" style="363" bestFit="1" customWidth="1"/>
    <col min="14554" max="14554" width="6.375" style="363" bestFit="1" customWidth="1"/>
    <col min="14555" max="14555" width="2.375" style="363" customWidth="1"/>
    <col min="14556" max="14556" width="9.5" style="363" bestFit="1" customWidth="1"/>
    <col min="14557" max="14557" width="7" style="363" bestFit="1" customWidth="1"/>
    <col min="14558" max="14558" width="1.75" style="363" customWidth="1"/>
    <col min="14559" max="14559" width="8.875" style="363" bestFit="1" customWidth="1"/>
    <col min="14560" max="14560" width="2" style="363" customWidth="1"/>
    <col min="14561" max="14561" width="8.875" style="363" bestFit="1" customWidth="1"/>
    <col min="14562" max="14562" width="6.375" style="363" bestFit="1" customWidth="1"/>
    <col min="14563" max="14563" width="1.375" style="363" customWidth="1"/>
    <col min="14564" max="14564" width="8.5" style="363" bestFit="1" customWidth="1"/>
    <col min="14565" max="14565" width="6.375" style="363" bestFit="1" customWidth="1"/>
    <col min="14566" max="14566" width="1.75" style="363" customWidth="1"/>
    <col min="14567" max="14567" width="9.5" style="363" bestFit="1" customWidth="1"/>
    <col min="14568" max="14568" width="7" style="363" bestFit="1" customWidth="1"/>
    <col min="14569" max="14569" width="1.625" style="363" customWidth="1"/>
    <col min="14570" max="14570" width="7.25" style="363" bestFit="1" customWidth="1"/>
    <col min="14571" max="14571" width="2.625" style="363" customWidth="1"/>
    <col min="14572" max="14572" width="13.25" style="363" customWidth="1"/>
    <col min="14573" max="14573" width="6.375" style="363" bestFit="1" customWidth="1"/>
    <col min="14574" max="14574" width="1.75" style="363" customWidth="1"/>
    <col min="14575" max="14575" width="8.5" style="363"/>
    <col min="14576" max="14576" width="42.25" style="363" bestFit="1" customWidth="1"/>
    <col min="14577" max="14577" width="1.25" style="363" customWidth="1"/>
    <col min="14578" max="14578" width="11.625" style="363" customWidth="1"/>
    <col min="14579" max="14579" width="1.25" style="363" customWidth="1"/>
    <col min="14580" max="14580" width="9.625" style="363" customWidth="1"/>
    <col min="14581" max="14581" width="8.125" style="363" customWidth="1"/>
    <col min="14582" max="14582" width="1.25" style="363" customWidth="1"/>
    <col min="14583" max="14583" width="8.125" style="363" customWidth="1"/>
    <col min="14584" max="14584" width="1.625" style="363" customWidth="1"/>
    <col min="14585" max="14585" width="8" style="363" bestFit="1" customWidth="1"/>
    <col min="14586" max="14586" width="9.75" style="363" bestFit="1" customWidth="1"/>
    <col min="14587" max="14801" width="7" style="363" customWidth="1"/>
    <col min="14802" max="14802" width="20.75" style="363" customWidth="1"/>
    <col min="14803" max="14803" width="1.875" style="363" customWidth="1"/>
    <col min="14804" max="14804" width="14.25" style="363" customWidth="1"/>
    <col min="14805" max="14805" width="4.25" style="363" customWidth="1"/>
    <col min="14806" max="14806" width="8.875" style="363" bestFit="1" customWidth="1"/>
    <col min="14807" max="14807" width="6.375" style="363" bestFit="1" customWidth="1"/>
    <col min="14808" max="14808" width="2.125" style="363" customWidth="1"/>
    <col min="14809" max="14809" width="8.5" style="363" bestFit="1" customWidth="1"/>
    <col min="14810" max="14810" width="6.375" style="363" bestFit="1" customWidth="1"/>
    <col min="14811" max="14811" width="2.375" style="363" customWidth="1"/>
    <col min="14812" max="14812" width="9.5" style="363" bestFit="1" customWidth="1"/>
    <col min="14813" max="14813" width="7" style="363" bestFit="1" customWidth="1"/>
    <col min="14814" max="14814" width="1.75" style="363" customWidth="1"/>
    <col min="14815" max="14815" width="8.875" style="363" bestFit="1" customWidth="1"/>
    <col min="14816" max="14816" width="2" style="363" customWidth="1"/>
    <col min="14817" max="14817" width="8.875" style="363" bestFit="1" customWidth="1"/>
    <col min="14818" max="14818" width="6.375" style="363" bestFit="1" customWidth="1"/>
    <col min="14819" max="14819" width="1.375" style="363" customWidth="1"/>
    <col min="14820" max="14820" width="8.5" style="363" bestFit="1" customWidth="1"/>
    <col min="14821" max="14821" width="6.375" style="363" bestFit="1" customWidth="1"/>
    <col min="14822" max="14822" width="1.75" style="363" customWidth="1"/>
    <col min="14823" max="14823" width="9.5" style="363" bestFit="1" customWidth="1"/>
    <col min="14824" max="14824" width="7" style="363" bestFit="1" customWidth="1"/>
    <col min="14825" max="14825" width="1.625" style="363" customWidth="1"/>
    <col min="14826" max="14826" width="7.25" style="363" bestFit="1" customWidth="1"/>
    <col min="14827" max="14827" width="2.625" style="363" customWidth="1"/>
    <col min="14828" max="14828" width="13.25" style="363" customWidth="1"/>
    <col min="14829" max="14829" width="6.375" style="363" bestFit="1" customWidth="1"/>
    <col min="14830" max="14830" width="1.75" style="363" customWidth="1"/>
    <col min="14831" max="14831" width="8.5" style="363"/>
    <col min="14832" max="14832" width="42.25" style="363" bestFit="1" customWidth="1"/>
    <col min="14833" max="14833" width="1.25" style="363" customWidth="1"/>
    <col min="14834" max="14834" width="11.625" style="363" customWidth="1"/>
    <col min="14835" max="14835" width="1.25" style="363" customWidth="1"/>
    <col min="14836" max="14836" width="9.625" style="363" customWidth="1"/>
    <col min="14837" max="14837" width="8.125" style="363" customWidth="1"/>
    <col min="14838" max="14838" width="1.25" style="363" customWidth="1"/>
    <col min="14839" max="14839" width="8.125" style="363" customWidth="1"/>
    <col min="14840" max="14840" width="1.625" style="363" customWidth="1"/>
    <col min="14841" max="14841" width="8" style="363" bestFit="1" customWidth="1"/>
    <col min="14842" max="14842" width="9.75" style="363" bestFit="1" customWidth="1"/>
    <col min="14843" max="15057" width="7" style="363" customWidth="1"/>
    <col min="15058" max="15058" width="20.75" style="363" customWidth="1"/>
    <col min="15059" max="15059" width="1.875" style="363" customWidth="1"/>
    <col min="15060" max="15060" width="14.25" style="363" customWidth="1"/>
    <col min="15061" max="15061" width="4.25" style="363" customWidth="1"/>
    <col min="15062" max="15062" width="8.875" style="363" bestFit="1" customWidth="1"/>
    <col min="15063" max="15063" width="6.375" style="363" bestFit="1" customWidth="1"/>
    <col min="15064" max="15064" width="2.125" style="363" customWidth="1"/>
    <col min="15065" max="15065" width="8.5" style="363" bestFit="1" customWidth="1"/>
    <col min="15066" max="15066" width="6.375" style="363" bestFit="1" customWidth="1"/>
    <col min="15067" max="15067" width="2.375" style="363" customWidth="1"/>
    <col min="15068" max="15068" width="9.5" style="363" bestFit="1" customWidth="1"/>
    <col min="15069" max="15069" width="7" style="363" bestFit="1" customWidth="1"/>
    <col min="15070" max="15070" width="1.75" style="363" customWidth="1"/>
    <col min="15071" max="15071" width="8.875" style="363" bestFit="1" customWidth="1"/>
    <col min="15072" max="15072" width="2" style="363" customWidth="1"/>
    <col min="15073" max="15073" width="8.875" style="363" bestFit="1" customWidth="1"/>
    <col min="15074" max="15074" width="6.375" style="363" bestFit="1" customWidth="1"/>
    <col min="15075" max="15075" width="1.375" style="363" customWidth="1"/>
    <col min="15076" max="15076" width="8.5" style="363" bestFit="1" customWidth="1"/>
    <col min="15077" max="15077" width="6.375" style="363" bestFit="1" customWidth="1"/>
    <col min="15078" max="15078" width="1.75" style="363" customWidth="1"/>
    <col min="15079" max="15079" width="9.5" style="363" bestFit="1" customWidth="1"/>
    <col min="15080" max="15080" width="7" style="363" bestFit="1" customWidth="1"/>
    <col min="15081" max="15081" width="1.625" style="363" customWidth="1"/>
    <col min="15082" max="15082" width="7.25" style="363" bestFit="1" customWidth="1"/>
    <col min="15083" max="15083" width="2.625" style="363" customWidth="1"/>
    <col min="15084" max="15084" width="13.25" style="363" customWidth="1"/>
    <col min="15085" max="15085" width="6.375" style="363" bestFit="1" customWidth="1"/>
    <col min="15086" max="15086" width="1.75" style="363" customWidth="1"/>
    <col min="15087" max="15087" width="8.5" style="363"/>
    <col min="15088" max="15088" width="42.25" style="363" bestFit="1" customWidth="1"/>
    <col min="15089" max="15089" width="1.25" style="363" customWidth="1"/>
    <col min="15090" max="15090" width="11.625" style="363" customWidth="1"/>
    <col min="15091" max="15091" width="1.25" style="363" customWidth="1"/>
    <col min="15092" max="15092" width="9.625" style="363" customWidth="1"/>
    <col min="15093" max="15093" width="8.125" style="363" customWidth="1"/>
    <col min="15094" max="15094" width="1.25" style="363" customWidth="1"/>
    <col min="15095" max="15095" width="8.125" style="363" customWidth="1"/>
    <col min="15096" max="15096" width="1.625" style="363" customWidth="1"/>
    <col min="15097" max="15097" width="8" style="363" bestFit="1" customWidth="1"/>
    <col min="15098" max="15098" width="9.75" style="363" bestFit="1" customWidth="1"/>
    <col min="15099" max="15313" width="7" style="363" customWidth="1"/>
    <col min="15314" max="15314" width="20.75" style="363" customWidth="1"/>
    <col min="15315" max="15315" width="1.875" style="363" customWidth="1"/>
    <col min="15316" max="15316" width="14.25" style="363" customWidth="1"/>
    <col min="15317" max="15317" width="4.25" style="363" customWidth="1"/>
    <col min="15318" max="15318" width="8.875" style="363" bestFit="1" customWidth="1"/>
    <col min="15319" max="15319" width="6.375" style="363" bestFit="1" customWidth="1"/>
    <col min="15320" max="15320" width="2.125" style="363" customWidth="1"/>
    <col min="15321" max="15321" width="8.5" style="363" bestFit="1" customWidth="1"/>
    <col min="15322" max="15322" width="6.375" style="363" bestFit="1" customWidth="1"/>
    <col min="15323" max="15323" width="2.375" style="363" customWidth="1"/>
    <col min="15324" max="15324" width="9.5" style="363" bestFit="1" customWidth="1"/>
    <col min="15325" max="15325" width="7" style="363" bestFit="1" customWidth="1"/>
    <col min="15326" max="15326" width="1.75" style="363" customWidth="1"/>
    <col min="15327" max="15327" width="8.875" style="363" bestFit="1" customWidth="1"/>
    <col min="15328" max="15328" width="2" style="363" customWidth="1"/>
    <col min="15329" max="15329" width="8.875" style="363" bestFit="1" customWidth="1"/>
    <col min="15330" max="15330" width="6.375" style="363" bestFit="1" customWidth="1"/>
    <col min="15331" max="15331" width="1.375" style="363" customWidth="1"/>
    <col min="15332" max="15332" width="8.5" style="363" bestFit="1" customWidth="1"/>
    <col min="15333" max="15333" width="6.375" style="363" bestFit="1" customWidth="1"/>
    <col min="15334" max="15334" width="1.75" style="363" customWidth="1"/>
    <col min="15335" max="15335" width="9.5" style="363" bestFit="1" customWidth="1"/>
    <col min="15336" max="15336" width="7" style="363" bestFit="1" customWidth="1"/>
    <col min="15337" max="15337" width="1.625" style="363" customWidth="1"/>
    <col min="15338" max="15338" width="7.25" style="363" bestFit="1" customWidth="1"/>
    <col min="15339" max="15339" width="2.625" style="363" customWidth="1"/>
    <col min="15340" max="15340" width="13.25" style="363" customWidth="1"/>
    <col min="15341" max="15341" width="6.375" style="363" bestFit="1" customWidth="1"/>
    <col min="15342" max="15342" width="1.75" style="363" customWidth="1"/>
    <col min="15343" max="15343" width="8.5" style="363"/>
    <col min="15344" max="15344" width="42.25" style="363" bestFit="1" customWidth="1"/>
    <col min="15345" max="15345" width="1.25" style="363" customWidth="1"/>
    <col min="15346" max="15346" width="11.625" style="363" customWidth="1"/>
    <col min="15347" max="15347" width="1.25" style="363" customWidth="1"/>
    <col min="15348" max="15348" width="9.625" style="363" customWidth="1"/>
    <col min="15349" max="15349" width="8.125" style="363" customWidth="1"/>
    <col min="15350" max="15350" width="1.25" style="363" customWidth="1"/>
    <col min="15351" max="15351" width="8.125" style="363" customWidth="1"/>
    <col min="15352" max="15352" width="1.625" style="363" customWidth="1"/>
    <col min="15353" max="15353" width="8" style="363" bestFit="1" customWidth="1"/>
    <col min="15354" max="15354" width="9.75" style="363" bestFit="1" customWidth="1"/>
    <col min="15355" max="15569" width="7" style="363" customWidth="1"/>
    <col min="15570" max="15570" width="20.75" style="363" customWidth="1"/>
    <col min="15571" max="15571" width="1.875" style="363" customWidth="1"/>
    <col min="15572" max="15572" width="14.25" style="363" customWidth="1"/>
    <col min="15573" max="15573" width="4.25" style="363" customWidth="1"/>
    <col min="15574" max="15574" width="8.875" style="363" bestFit="1" customWidth="1"/>
    <col min="15575" max="15575" width="6.375" style="363" bestFit="1" customWidth="1"/>
    <col min="15576" max="15576" width="2.125" style="363" customWidth="1"/>
    <col min="15577" max="15577" width="8.5" style="363" bestFit="1" customWidth="1"/>
    <col min="15578" max="15578" width="6.375" style="363" bestFit="1" customWidth="1"/>
    <col min="15579" max="15579" width="2.375" style="363" customWidth="1"/>
    <col min="15580" max="15580" width="9.5" style="363" bestFit="1" customWidth="1"/>
    <col min="15581" max="15581" width="7" style="363" bestFit="1" customWidth="1"/>
    <col min="15582" max="15582" width="1.75" style="363" customWidth="1"/>
    <col min="15583" max="15583" width="8.875" style="363" bestFit="1" customWidth="1"/>
    <col min="15584" max="15584" width="2" style="363" customWidth="1"/>
    <col min="15585" max="15585" width="8.875" style="363" bestFit="1" customWidth="1"/>
    <col min="15586" max="15586" width="6.375" style="363" bestFit="1" customWidth="1"/>
    <col min="15587" max="15587" width="1.375" style="363" customWidth="1"/>
    <col min="15588" max="15588" width="8.5" style="363" bestFit="1" customWidth="1"/>
    <col min="15589" max="15589" width="6.375" style="363" bestFit="1" customWidth="1"/>
    <col min="15590" max="15590" width="1.75" style="363" customWidth="1"/>
    <col min="15591" max="15591" width="9.5" style="363" bestFit="1" customWidth="1"/>
    <col min="15592" max="15592" width="7" style="363" bestFit="1" customWidth="1"/>
    <col min="15593" max="15593" width="1.625" style="363" customWidth="1"/>
    <col min="15594" max="15594" width="7.25" style="363" bestFit="1" customWidth="1"/>
    <col min="15595" max="15595" width="2.625" style="363" customWidth="1"/>
    <col min="15596" max="15596" width="13.25" style="363" customWidth="1"/>
    <col min="15597" max="15597" width="6.375" style="363" bestFit="1" customWidth="1"/>
    <col min="15598" max="15598" width="1.75" style="363" customWidth="1"/>
    <col min="15599" max="15599" width="8.5" style="363"/>
    <col min="15600" max="15600" width="42.25" style="363" bestFit="1" customWidth="1"/>
    <col min="15601" max="15601" width="1.25" style="363" customWidth="1"/>
    <col min="15602" max="15602" width="11.625" style="363" customWidth="1"/>
    <col min="15603" max="15603" width="1.25" style="363" customWidth="1"/>
    <col min="15604" max="15604" width="9.625" style="363" customWidth="1"/>
    <col min="15605" max="15605" width="8.125" style="363" customWidth="1"/>
    <col min="15606" max="15606" width="1.25" style="363" customWidth="1"/>
    <col min="15607" max="15607" width="8.125" style="363" customWidth="1"/>
    <col min="15608" max="15608" width="1.625" style="363" customWidth="1"/>
    <col min="15609" max="15609" width="8" style="363" bestFit="1" customWidth="1"/>
    <col min="15610" max="15610" width="9.75" style="363" bestFit="1" customWidth="1"/>
    <col min="15611" max="15825" width="7" style="363" customWidth="1"/>
    <col min="15826" max="15826" width="20.75" style="363" customWidth="1"/>
    <col min="15827" max="15827" width="1.875" style="363" customWidth="1"/>
    <col min="15828" max="15828" width="14.25" style="363" customWidth="1"/>
    <col min="15829" max="15829" width="4.25" style="363" customWidth="1"/>
    <col min="15830" max="15830" width="8.875" style="363" bestFit="1" customWidth="1"/>
    <col min="15831" max="15831" width="6.375" style="363" bestFit="1" customWidth="1"/>
    <col min="15832" max="15832" width="2.125" style="363" customWidth="1"/>
    <col min="15833" max="15833" width="8.5" style="363" bestFit="1" customWidth="1"/>
    <col min="15834" max="15834" width="6.375" style="363" bestFit="1" customWidth="1"/>
    <col min="15835" max="15835" width="2.375" style="363" customWidth="1"/>
    <col min="15836" max="15836" width="9.5" style="363" bestFit="1" customWidth="1"/>
    <col min="15837" max="15837" width="7" style="363" bestFit="1" customWidth="1"/>
    <col min="15838" max="15838" width="1.75" style="363" customWidth="1"/>
    <col min="15839" max="15839" width="8.875" style="363" bestFit="1" customWidth="1"/>
    <col min="15840" max="15840" width="2" style="363" customWidth="1"/>
    <col min="15841" max="15841" width="8.875" style="363" bestFit="1" customWidth="1"/>
    <col min="15842" max="15842" width="6.375" style="363" bestFit="1" customWidth="1"/>
    <col min="15843" max="15843" width="1.375" style="363" customWidth="1"/>
    <col min="15844" max="15844" width="8.5" style="363" bestFit="1" customWidth="1"/>
    <col min="15845" max="15845" width="6.375" style="363" bestFit="1" customWidth="1"/>
    <col min="15846" max="15846" width="1.75" style="363" customWidth="1"/>
    <col min="15847" max="15847" width="9.5" style="363" bestFit="1" customWidth="1"/>
    <col min="15848" max="15848" width="7" style="363" bestFit="1" customWidth="1"/>
    <col min="15849" max="15849" width="1.625" style="363" customWidth="1"/>
    <col min="15850" max="15850" width="7.25" style="363" bestFit="1" customWidth="1"/>
    <col min="15851" max="15851" width="2.625" style="363" customWidth="1"/>
    <col min="15852" max="15852" width="13.25" style="363" customWidth="1"/>
    <col min="15853" max="15853" width="6.375" style="363" bestFit="1" customWidth="1"/>
    <col min="15854" max="15854" width="1.75" style="363" customWidth="1"/>
    <col min="15855" max="15855" width="8.5" style="363"/>
    <col min="15856" max="15856" width="42.25" style="363" bestFit="1" customWidth="1"/>
    <col min="15857" max="15857" width="1.25" style="363" customWidth="1"/>
    <col min="15858" max="15858" width="11.625" style="363" customWidth="1"/>
    <col min="15859" max="15859" width="1.25" style="363" customWidth="1"/>
    <col min="15860" max="15860" width="9.625" style="363" customWidth="1"/>
    <col min="15861" max="15861" width="8.125" style="363" customWidth="1"/>
    <col min="15862" max="15862" width="1.25" style="363" customWidth="1"/>
    <col min="15863" max="15863" width="8.125" style="363" customWidth="1"/>
    <col min="15864" max="15864" width="1.625" style="363" customWidth="1"/>
    <col min="15865" max="15865" width="8" style="363" bestFit="1" customWidth="1"/>
    <col min="15866" max="15866" width="9.75" style="363" bestFit="1" customWidth="1"/>
    <col min="15867" max="16081" width="7" style="363" customWidth="1"/>
    <col min="16082" max="16082" width="20.75" style="363" customWidth="1"/>
    <col min="16083" max="16083" width="1.875" style="363" customWidth="1"/>
    <col min="16084" max="16084" width="14.25" style="363" customWidth="1"/>
    <col min="16085" max="16085" width="4.25" style="363" customWidth="1"/>
    <col min="16086" max="16086" width="8.875" style="363" bestFit="1" customWidth="1"/>
    <col min="16087" max="16087" width="6.375" style="363" bestFit="1" customWidth="1"/>
    <col min="16088" max="16088" width="2.125" style="363" customWidth="1"/>
    <col min="16089" max="16089" width="8.5" style="363" bestFit="1" customWidth="1"/>
    <col min="16090" max="16090" width="6.375" style="363" bestFit="1" customWidth="1"/>
    <col min="16091" max="16091" width="2.375" style="363" customWidth="1"/>
    <col min="16092" max="16092" width="9.5" style="363" bestFit="1" customWidth="1"/>
    <col min="16093" max="16093" width="7" style="363" bestFit="1" customWidth="1"/>
    <col min="16094" max="16094" width="1.75" style="363" customWidth="1"/>
    <col min="16095" max="16095" width="8.875" style="363" bestFit="1" customWidth="1"/>
    <col min="16096" max="16096" width="2" style="363" customWidth="1"/>
    <col min="16097" max="16097" width="8.875" style="363" bestFit="1" customWidth="1"/>
    <col min="16098" max="16098" width="6.375" style="363" bestFit="1" customWidth="1"/>
    <col min="16099" max="16099" width="1.375" style="363" customWidth="1"/>
    <col min="16100" max="16100" width="8.5" style="363" bestFit="1" customWidth="1"/>
    <col min="16101" max="16101" width="6.375" style="363" bestFit="1" customWidth="1"/>
    <col min="16102" max="16102" width="1.75" style="363" customWidth="1"/>
    <col min="16103" max="16103" width="9.5" style="363" bestFit="1" customWidth="1"/>
    <col min="16104" max="16104" width="7" style="363" bestFit="1" customWidth="1"/>
    <col min="16105" max="16105" width="1.625" style="363" customWidth="1"/>
    <col min="16106" max="16106" width="7.25" style="363" bestFit="1" customWidth="1"/>
    <col min="16107" max="16107" width="2.625" style="363" customWidth="1"/>
    <col min="16108" max="16108" width="13.25" style="363" customWidth="1"/>
    <col min="16109" max="16109" width="6.375" style="363" bestFit="1" customWidth="1"/>
    <col min="16110" max="16110" width="1.75" style="363" customWidth="1"/>
    <col min="16111" max="16111" width="8.5" style="363"/>
    <col min="16112" max="16112" width="42.25" style="363" bestFit="1" customWidth="1"/>
    <col min="16113" max="16113" width="1.25" style="363" customWidth="1"/>
    <col min="16114" max="16114" width="11.625" style="363" customWidth="1"/>
    <col min="16115" max="16115" width="1.25" style="363" customWidth="1"/>
    <col min="16116" max="16116" width="9.625" style="363" customWidth="1"/>
    <col min="16117" max="16117" width="8.125" style="363" customWidth="1"/>
    <col min="16118" max="16118" width="1.25" style="363" customWidth="1"/>
    <col min="16119" max="16119" width="8.125" style="363" customWidth="1"/>
    <col min="16120" max="16120" width="1.625" style="363" customWidth="1"/>
    <col min="16121" max="16121" width="8" style="363" bestFit="1" customWidth="1"/>
    <col min="16122" max="16122" width="9.75" style="363" bestFit="1" customWidth="1"/>
    <col min="16123" max="16337" width="7" style="363" customWidth="1"/>
    <col min="16338" max="16338" width="20.75" style="363" customWidth="1"/>
    <col min="16339" max="16339" width="1.875" style="363" customWidth="1"/>
    <col min="16340" max="16340" width="14.25" style="363" customWidth="1"/>
    <col min="16341" max="16341" width="4.25" style="363" customWidth="1"/>
    <col min="16342" max="16342" width="8.875" style="363" bestFit="1" customWidth="1"/>
    <col min="16343" max="16343" width="6.375" style="363" bestFit="1" customWidth="1"/>
    <col min="16344" max="16344" width="2.125" style="363" customWidth="1"/>
    <col min="16345" max="16345" width="8.5" style="363" bestFit="1" customWidth="1"/>
    <col min="16346" max="16346" width="6.375" style="363" bestFit="1" customWidth="1"/>
    <col min="16347" max="16347" width="2.375" style="363" customWidth="1"/>
    <col min="16348" max="16348" width="9.5" style="363" bestFit="1" customWidth="1"/>
    <col min="16349" max="16349" width="7" style="363" bestFit="1" customWidth="1"/>
    <col min="16350" max="16350" width="1.75" style="363" customWidth="1"/>
    <col min="16351" max="16351" width="8.875" style="363" bestFit="1" customWidth="1"/>
    <col min="16352" max="16352" width="2" style="363" customWidth="1"/>
    <col min="16353" max="16353" width="8.875" style="363" bestFit="1" customWidth="1"/>
    <col min="16354" max="16354" width="6.375" style="363" bestFit="1" customWidth="1"/>
    <col min="16355" max="16355" width="1.375" style="363" customWidth="1"/>
    <col min="16356" max="16356" width="8.5" style="363" bestFit="1" customWidth="1"/>
    <col min="16357" max="16357" width="6.375" style="363" bestFit="1" customWidth="1"/>
    <col min="16358" max="16358" width="1.75" style="363" customWidth="1"/>
    <col min="16359" max="16359" width="9.5" style="363" bestFit="1" customWidth="1"/>
    <col min="16360" max="16360" width="7" style="363" bestFit="1" customWidth="1"/>
    <col min="16361" max="16384" width="1.625" style="363" customWidth="1"/>
  </cols>
  <sheetData>
    <row r="1" spans="1:15">
      <c r="A1" s="361" t="s">
        <v>413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2"/>
    </row>
    <row r="2" spans="1:15" s="364" customFormat="1" ht="15.75" customHeight="1">
      <c r="A2" s="361" t="s">
        <v>414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5"/>
      <c r="N2" s="363"/>
    </row>
    <row r="3" spans="1:15" ht="33" customHeight="1"/>
    <row r="4" spans="1:15" s="364" customFormat="1">
      <c r="C4" s="366" t="s">
        <v>366</v>
      </c>
      <c r="D4" s="366"/>
      <c r="E4" s="361" t="s">
        <v>415</v>
      </c>
      <c r="F4" s="361"/>
      <c r="G4" s="366"/>
      <c r="H4" s="361" t="s">
        <v>4</v>
      </c>
      <c r="I4" s="361"/>
      <c r="J4" s="366"/>
      <c r="K4" s="361" t="s">
        <v>363</v>
      </c>
      <c r="L4" s="366"/>
      <c r="M4" s="367" t="s">
        <v>4</v>
      </c>
      <c r="N4" s="368" t="s">
        <v>416</v>
      </c>
      <c r="O4" s="368" t="s">
        <v>7</v>
      </c>
    </row>
    <row r="5" spans="1:15" s="364" customFormat="1">
      <c r="C5" s="366" t="s">
        <v>417</v>
      </c>
      <c r="D5" s="366"/>
      <c r="E5" s="361" t="s">
        <v>360</v>
      </c>
      <c r="F5" s="361"/>
      <c r="G5" s="366"/>
      <c r="H5" s="361" t="s">
        <v>418</v>
      </c>
      <c r="I5" s="361"/>
      <c r="J5" s="366"/>
      <c r="K5" s="361" t="s">
        <v>360</v>
      </c>
      <c r="L5" s="366"/>
      <c r="M5" s="369" t="s">
        <v>359</v>
      </c>
      <c r="N5" s="370" t="s">
        <v>419</v>
      </c>
      <c r="O5" s="371" t="s">
        <v>420</v>
      </c>
    </row>
    <row r="6" spans="1:15" s="364" customFormat="1">
      <c r="A6" s="372" t="s">
        <v>421</v>
      </c>
      <c r="C6" s="373" t="s">
        <v>367</v>
      </c>
      <c r="E6" s="373" t="s">
        <v>367</v>
      </c>
      <c r="F6" s="373" t="s">
        <v>422</v>
      </c>
      <c r="H6" s="373" t="s">
        <v>367</v>
      </c>
      <c r="I6" s="373" t="s">
        <v>422</v>
      </c>
      <c r="K6" s="373" t="s">
        <v>422</v>
      </c>
      <c r="M6" s="374" t="s">
        <v>422</v>
      </c>
      <c r="N6" s="375" t="s">
        <v>422</v>
      </c>
      <c r="O6" s="374" t="s">
        <v>423</v>
      </c>
    </row>
    <row r="7" spans="1:15">
      <c r="A7" s="363" t="s">
        <v>424</v>
      </c>
      <c r="C7" s="376">
        <v>623014.36641879997</v>
      </c>
      <c r="E7" s="376">
        <f>$N$28*N7</f>
        <v>45785.363888061358</v>
      </c>
      <c r="F7" s="377">
        <f>E7/$C7</f>
        <v>7.3490061154197719E-2</v>
      </c>
      <c r="H7" s="376">
        <v>-11660.708508953865</v>
      </c>
      <c r="I7" s="377">
        <f>H7*365/$O$9/C7</f>
        <v>-2.6895896542946069E-2</v>
      </c>
      <c r="K7" s="377">
        <f>F7+I7</f>
        <v>4.6594164611251654E-2</v>
      </c>
      <c r="M7" s="378">
        <f>H7/$H$25</f>
        <v>0.34704489609981731</v>
      </c>
      <c r="N7" s="379">
        <v>0.39132789647915689</v>
      </c>
      <c r="O7" s="380">
        <v>-33600</v>
      </c>
    </row>
    <row r="8" spans="1:15">
      <c r="A8" s="363" t="s">
        <v>425</v>
      </c>
      <c r="C8" s="376">
        <v>460778.65638280002</v>
      </c>
      <c r="E8" s="376">
        <f t="shared" ref="E8:E24" si="0">$N$28*N8</f>
        <v>29080.853754948916</v>
      </c>
      <c r="F8" s="377">
        <f t="shared" ref="F8:F25" si="1">E8/$C8</f>
        <v>6.3112414935273128E-2</v>
      </c>
      <c r="H8" s="376">
        <v>-9319.5341088271834</v>
      </c>
      <c r="I8" s="377">
        <f>H8*365/$O$9/C8</f>
        <v>-2.9064375510954997E-2</v>
      </c>
      <c r="K8" s="377">
        <f t="shared" ref="K8:K26" si="2">F8+I8</f>
        <v>3.4048039424318131E-2</v>
      </c>
      <c r="M8" s="378">
        <f t="shared" ref="M8:M25" si="3">H8/$H$25</f>
        <v>0.27736708657223752</v>
      </c>
      <c r="N8" s="381">
        <v>0.24855430559785396</v>
      </c>
      <c r="O8" s="382" t="s">
        <v>426</v>
      </c>
    </row>
    <row r="9" spans="1:15">
      <c r="A9" s="363" t="s">
        <v>427</v>
      </c>
      <c r="C9" s="376">
        <v>138876.68594639999</v>
      </c>
      <c r="E9" s="376">
        <f t="shared" si="0"/>
        <v>10139.722219154162</v>
      </c>
      <c r="F9" s="377">
        <f t="shared" si="1"/>
        <v>7.3012414935273079E-2</v>
      </c>
      <c r="H9" s="376">
        <v>-2989.2630004106381</v>
      </c>
      <c r="I9" s="377">
        <f t="shared" ref="I9:I26" si="4">H9*365/$O$9/C9</f>
        <v>-3.0930997811626421E-2</v>
      </c>
      <c r="K9" s="377">
        <f t="shared" si="2"/>
        <v>4.2081417123646658E-2</v>
      </c>
      <c r="M9" s="378">
        <f t="shared" si="3"/>
        <v>8.8966160726507065E-2</v>
      </c>
      <c r="N9" s="381">
        <v>8.6664292471403101E-2</v>
      </c>
      <c r="O9" s="383">
        <f>10+31+30+31+31+29+31+30+31</f>
        <v>254</v>
      </c>
    </row>
    <row r="10" spans="1:15">
      <c r="A10" s="363" t="s">
        <v>428</v>
      </c>
      <c r="C10" s="376">
        <v>13801.649793099999</v>
      </c>
      <c r="E10" s="376">
        <f t="shared" si="0"/>
        <v>0</v>
      </c>
      <c r="F10" s="377">
        <f t="shared" si="1"/>
        <v>0</v>
      </c>
      <c r="H10" s="376">
        <v>-61.911754900728162</v>
      </c>
      <c r="I10" s="377">
        <f t="shared" si="4"/>
        <v>-6.446162641437111E-3</v>
      </c>
      <c r="K10" s="377">
        <f t="shared" si="2"/>
        <v>-6.446162641437111E-3</v>
      </c>
      <c r="M10" s="378">
        <f t="shared" si="3"/>
        <v>1.8426117529978616E-3</v>
      </c>
      <c r="N10" s="381">
        <v>0</v>
      </c>
      <c r="O10" s="382" t="s">
        <v>429</v>
      </c>
    </row>
    <row r="11" spans="1:15">
      <c r="A11" s="363" t="s">
        <v>430</v>
      </c>
      <c r="C11" s="376">
        <v>215589.84022069999</v>
      </c>
      <c r="E11" s="376">
        <f t="shared" si="0"/>
        <v>18286.618830807558</v>
      </c>
      <c r="F11" s="377">
        <f t="shared" si="1"/>
        <v>8.4821338575544608E-2</v>
      </c>
      <c r="H11" s="376">
        <v>-5607.8848361852743</v>
      </c>
      <c r="I11" s="377">
        <f t="shared" si="4"/>
        <v>-3.7379194946859116E-2</v>
      </c>
      <c r="K11" s="377">
        <f t="shared" si="2"/>
        <v>4.7442143628685492E-2</v>
      </c>
      <c r="M11" s="378">
        <f t="shared" si="3"/>
        <v>0.16690133441027599</v>
      </c>
      <c r="N11" s="381">
        <v>0.15629588744279965</v>
      </c>
      <c r="O11" s="384">
        <f>O7*365/O9</f>
        <v>-48283.464566929135</v>
      </c>
    </row>
    <row r="12" spans="1:15">
      <c r="A12" s="363" t="s">
        <v>431</v>
      </c>
      <c r="C12" s="376">
        <v>12157.883037200001</v>
      </c>
      <c r="E12" s="376">
        <f t="shared" si="0"/>
        <v>865.79221157960365</v>
      </c>
      <c r="F12" s="377">
        <f t="shared" si="1"/>
        <v>7.1212414935273E-2</v>
      </c>
      <c r="H12" s="376">
        <v>-238.28608029507782</v>
      </c>
      <c r="I12" s="377">
        <f t="shared" si="4"/>
        <v>-2.8164358269006325E-2</v>
      </c>
      <c r="K12" s="377">
        <f t="shared" si="2"/>
        <v>4.3048056666266675E-2</v>
      </c>
      <c r="M12" s="378">
        <f t="shared" si="3"/>
        <v>7.0918476278296954E-3</v>
      </c>
      <c r="N12" s="381">
        <v>7.3999334323043044E-3</v>
      </c>
      <c r="O12" s="385"/>
    </row>
    <row r="13" spans="1:15">
      <c r="A13" s="363" t="s">
        <v>432</v>
      </c>
      <c r="C13" s="376">
        <v>1218.1327200000001</v>
      </c>
      <c r="E13" s="376">
        <f t="shared" si="0"/>
        <v>0</v>
      </c>
      <c r="F13" s="377">
        <f>E13/$C13</f>
        <v>0</v>
      </c>
      <c r="H13" s="376">
        <v>-12.403264377858857</v>
      </c>
      <c r="I13" s="377">
        <f t="shared" si="4"/>
        <v>-1.4631893784514889E-2</v>
      </c>
      <c r="K13" s="377">
        <f t="shared" si="2"/>
        <v>-1.4631893784514889E-2</v>
      </c>
      <c r="M13" s="378">
        <f t="shared" si="3"/>
        <v>3.6914477315056117E-4</v>
      </c>
      <c r="N13" s="381">
        <v>0</v>
      </c>
      <c r="O13" s="385"/>
    </row>
    <row r="14" spans="1:15">
      <c r="A14" s="363" t="s">
        <v>433</v>
      </c>
      <c r="C14" s="376">
        <v>521.27995859999999</v>
      </c>
      <c r="E14" s="376">
        <f t="shared" si="0"/>
        <v>38.059908634745128</v>
      </c>
      <c r="F14" s="377">
        <f t="shared" si="1"/>
        <v>7.3012414935272996E-2</v>
      </c>
      <c r="H14" s="376">
        <v>-6.723974939871594</v>
      </c>
      <c r="I14" s="377">
        <f t="shared" si="4"/>
        <v>-1.8535922538112412E-2</v>
      </c>
      <c r="K14" s="377">
        <f t="shared" si="2"/>
        <v>5.4476492397160584E-2</v>
      </c>
      <c r="M14" s="378">
        <f t="shared" si="3"/>
        <v>2.0011830178189263E-4</v>
      </c>
      <c r="N14" s="381">
        <v>3.2529836439953102E-4</v>
      </c>
      <c r="O14" s="385"/>
    </row>
    <row r="15" spans="1:15">
      <c r="A15" s="363" t="s">
        <v>434</v>
      </c>
      <c r="C15" s="376">
        <v>281.23465000000004</v>
      </c>
      <c r="E15" s="376">
        <f t="shared" si="0"/>
        <v>23.824066364976286</v>
      </c>
      <c r="F15" s="377">
        <f>E15/$C15</f>
        <v>8.4712414935273025E-2</v>
      </c>
      <c r="H15" s="376">
        <v>-5.7429353338691502</v>
      </c>
      <c r="I15" s="377">
        <f t="shared" si="4"/>
        <v>-2.9344333263106898E-2</v>
      </c>
      <c r="K15" s="377">
        <f t="shared" si="2"/>
        <v>5.5368081672166128E-2</v>
      </c>
      <c r="M15" s="378">
        <f t="shared" si="3"/>
        <v>1.7092069446039134E-4</v>
      </c>
      <c r="N15" s="381">
        <v>2.0362449884595116E-4</v>
      </c>
      <c r="O15" s="385"/>
    </row>
    <row r="16" spans="1:15">
      <c r="A16" s="363" t="s">
        <v>435</v>
      </c>
      <c r="C16" s="376">
        <v>121797.0054729</v>
      </c>
      <c r="E16" s="376">
        <f t="shared" si="0"/>
        <v>7686.903147279394</v>
      </c>
      <c r="F16" s="377">
        <f t="shared" si="1"/>
        <v>6.3112414935273101E-2</v>
      </c>
      <c r="H16" s="376">
        <v>-2202.1340607381162</v>
      </c>
      <c r="I16" s="377">
        <f t="shared" si="4"/>
        <v>-2.5981623871886149E-2</v>
      </c>
      <c r="K16" s="377">
        <f t="shared" si="2"/>
        <v>3.7130791063386952E-2</v>
      </c>
      <c r="M16" s="378">
        <f t="shared" si="3"/>
        <v>6.553970418863439E-2</v>
      </c>
      <c r="N16" s="381">
        <v>6.5700026899823877E-2</v>
      </c>
      <c r="O16" s="385"/>
    </row>
    <row r="17" spans="1:15">
      <c r="A17" s="363" t="s">
        <v>436</v>
      </c>
      <c r="C17" s="376">
        <v>793.09077920000004</v>
      </c>
      <c r="E17" s="376">
        <f t="shared" si="0"/>
        <v>57.905473052289416</v>
      </c>
      <c r="F17" s="377">
        <f>E17/$C17</f>
        <v>7.3012414935273037E-2</v>
      </c>
      <c r="H17" s="376">
        <v>-16.195262777305345</v>
      </c>
      <c r="I17" s="377">
        <f t="shared" si="4"/>
        <v>-2.9344333263106905E-2</v>
      </c>
      <c r="K17" s="377">
        <f t="shared" si="2"/>
        <v>4.3668081672166133E-2</v>
      </c>
      <c r="M17" s="378">
        <f t="shared" si="3"/>
        <v>4.8200186837218278E-4</v>
      </c>
      <c r="N17" s="381">
        <v>4.9491857309649074E-4</v>
      </c>
      <c r="O17" s="385"/>
    </row>
    <row r="18" spans="1:15">
      <c r="A18" s="363" t="s">
        <v>437</v>
      </c>
      <c r="C18" s="376">
        <v>0.629</v>
      </c>
      <c r="E18" s="376">
        <f t="shared" si="0"/>
        <v>0</v>
      </c>
      <c r="F18" s="377">
        <f>E18/$C18</f>
        <v>0</v>
      </c>
      <c r="H18" s="376">
        <v>0</v>
      </c>
      <c r="I18" s="377">
        <f t="shared" si="4"/>
        <v>0</v>
      </c>
      <c r="K18" s="377">
        <f t="shared" si="2"/>
        <v>0</v>
      </c>
      <c r="M18" s="378">
        <f t="shared" si="3"/>
        <v>0</v>
      </c>
      <c r="N18" s="381">
        <v>0</v>
      </c>
      <c r="O18" s="386"/>
    </row>
    <row r="19" spans="1:15">
      <c r="A19" s="363" t="s">
        <v>438</v>
      </c>
      <c r="C19" s="376">
        <v>17.277000000000001</v>
      </c>
      <c r="E19" s="376">
        <f t="shared" si="0"/>
        <v>0</v>
      </c>
      <c r="F19" s="377">
        <f>E19/$C19</f>
        <v>0</v>
      </c>
      <c r="H19" s="376">
        <v>0</v>
      </c>
      <c r="I19" s="377">
        <f t="shared" si="4"/>
        <v>0</v>
      </c>
      <c r="K19" s="377">
        <f t="shared" si="2"/>
        <v>0</v>
      </c>
      <c r="M19" s="378">
        <f t="shared" si="3"/>
        <v>0</v>
      </c>
      <c r="N19" s="381">
        <v>0</v>
      </c>
      <c r="O19" s="386"/>
    </row>
    <row r="20" spans="1:15">
      <c r="A20" s="363" t="s">
        <v>439</v>
      </c>
      <c r="C20" s="376">
        <v>22942.658742756612</v>
      </c>
      <c r="E20" s="376">
        <f t="shared" si="0"/>
        <v>0</v>
      </c>
      <c r="F20" s="377">
        <f t="shared" si="1"/>
        <v>0</v>
      </c>
      <c r="H20" s="376">
        <v>0</v>
      </c>
      <c r="I20" s="377">
        <f t="shared" si="4"/>
        <v>0</v>
      </c>
      <c r="K20" s="377">
        <f t="shared" si="2"/>
        <v>0</v>
      </c>
      <c r="M20" s="378">
        <f t="shared" si="3"/>
        <v>0</v>
      </c>
      <c r="N20" s="381">
        <v>0</v>
      </c>
      <c r="O20" s="386"/>
    </row>
    <row r="21" spans="1:15">
      <c r="A21" s="363" t="s">
        <v>440</v>
      </c>
      <c r="C21" s="376">
        <v>30307.371080770277</v>
      </c>
      <c r="E21" s="376">
        <f t="shared" si="0"/>
        <v>0</v>
      </c>
      <c r="F21" s="377">
        <f t="shared" si="1"/>
        <v>0</v>
      </c>
      <c r="H21" s="376">
        <v>0</v>
      </c>
      <c r="I21" s="377">
        <f t="shared" si="4"/>
        <v>0</v>
      </c>
      <c r="K21" s="377">
        <f t="shared" si="2"/>
        <v>0</v>
      </c>
      <c r="M21" s="378">
        <f t="shared" si="3"/>
        <v>0</v>
      </c>
      <c r="N21" s="381">
        <v>0</v>
      </c>
      <c r="O21" s="386"/>
    </row>
    <row r="22" spans="1:15" s="387" customFormat="1">
      <c r="A22" s="363" t="s">
        <v>441</v>
      </c>
      <c r="B22" s="363"/>
      <c r="C22" s="376">
        <v>46004.667615563194</v>
      </c>
      <c r="D22" s="363"/>
      <c r="E22" s="376">
        <f t="shared" si="0"/>
        <v>4267.0884459931249</v>
      </c>
      <c r="F22" s="377">
        <f t="shared" si="1"/>
        <v>9.2753380627612361E-2</v>
      </c>
      <c r="G22" s="363"/>
      <c r="H22" s="376">
        <v>-1197</v>
      </c>
      <c r="I22" s="377">
        <f t="shared" si="4"/>
        <v>-3.7389650101828972E-2</v>
      </c>
      <c r="J22" s="363"/>
      <c r="K22" s="377">
        <f t="shared" si="2"/>
        <v>5.5363730525783389E-2</v>
      </c>
      <c r="L22" s="363"/>
      <c r="M22" s="378">
        <f t="shared" si="3"/>
        <v>3.562499999999999E-2</v>
      </c>
      <c r="N22" s="381">
        <v>3.6470841418744661E-2</v>
      </c>
      <c r="O22" s="385"/>
    </row>
    <row r="23" spans="1:15">
      <c r="A23" s="363" t="s">
        <v>442</v>
      </c>
      <c r="C23" s="376">
        <v>10557.777273195708</v>
      </c>
      <c r="E23" s="376">
        <f t="shared" si="0"/>
        <v>767.86805412386332</v>
      </c>
      <c r="F23" s="377">
        <f t="shared" si="1"/>
        <v>7.273008648073509E-2</v>
      </c>
      <c r="H23" s="376">
        <v>-282.21221226021788</v>
      </c>
      <c r="I23" s="377">
        <f t="shared" si="4"/>
        <v>-3.8411605081964798E-2</v>
      </c>
      <c r="K23" s="377">
        <f t="shared" si="2"/>
        <v>3.4318481398770292E-2</v>
      </c>
      <c r="M23" s="378">
        <f t="shared" si="3"/>
        <v>8.3991729839350548E-3</v>
      </c>
      <c r="N23" s="381">
        <v>6.5629748215714811E-3</v>
      </c>
      <c r="O23" s="385"/>
    </row>
    <row r="24" spans="1:15">
      <c r="A24" s="388" t="s">
        <v>373</v>
      </c>
      <c r="B24" s="388"/>
      <c r="C24" s="389">
        <v>3577.6234300000001</v>
      </c>
      <c r="D24" s="388"/>
      <c r="E24" s="389">
        <f t="shared" si="0"/>
        <v>0</v>
      </c>
      <c r="F24" s="390">
        <f t="shared" si="1"/>
        <v>0</v>
      </c>
      <c r="G24" s="388"/>
      <c r="H24" s="389">
        <v>0</v>
      </c>
      <c r="I24" s="390">
        <f t="shared" si="4"/>
        <v>0</v>
      </c>
      <c r="J24" s="388"/>
      <c r="K24" s="390">
        <f t="shared" si="2"/>
        <v>0</v>
      </c>
      <c r="L24" s="388"/>
      <c r="M24" s="378">
        <f t="shared" si="3"/>
        <v>0</v>
      </c>
      <c r="N24" s="381">
        <v>0</v>
      </c>
      <c r="O24" s="386"/>
    </row>
    <row r="25" spans="1:15" ht="16.5" thickBot="1">
      <c r="A25" s="391" t="s">
        <v>443</v>
      </c>
      <c r="B25" s="392"/>
      <c r="C25" s="393">
        <f>SUM(C7:C24)</f>
        <v>1702237.829521986</v>
      </c>
      <c r="D25" s="392"/>
      <c r="E25" s="393">
        <f>SUM(E7:E24)</f>
        <v>117000.00000000001</v>
      </c>
      <c r="F25" s="377">
        <f t="shared" si="1"/>
        <v>6.8733051263967837E-2</v>
      </c>
      <c r="G25" s="392"/>
      <c r="H25" s="393">
        <f>SUM(H7:H24)</f>
        <v>-33600.000000000007</v>
      </c>
      <c r="I25" s="394">
        <f t="shared" si="4"/>
        <v>-2.8364699532313804E-2</v>
      </c>
      <c r="J25" s="392"/>
      <c r="K25" s="394">
        <f t="shared" si="2"/>
        <v>4.0368351731654033E-2</v>
      </c>
      <c r="L25" s="392"/>
      <c r="M25" s="395">
        <f t="shared" si="3"/>
        <v>1</v>
      </c>
      <c r="N25" s="396">
        <f>SUM(N7:N24)</f>
        <v>0.99999999999999989</v>
      </c>
      <c r="O25" s="385"/>
    </row>
    <row r="26" spans="1:15" ht="17.25" thickTop="1" thickBot="1">
      <c r="A26" s="397" t="s">
        <v>444</v>
      </c>
      <c r="B26" s="398"/>
      <c r="C26" s="399">
        <f>+C25-C20-C21-C24</f>
        <v>1645410.1762684591</v>
      </c>
      <c r="D26" s="398"/>
      <c r="E26" s="399">
        <f>+E25-E20-E21-E24</f>
        <v>117000.00000000001</v>
      </c>
      <c r="F26" s="400">
        <f>E26/C26</f>
        <v>7.1106889751550148E-2</v>
      </c>
      <c r="G26" s="398"/>
      <c r="H26" s="399">
        <f>+H25-H20-H21-H24</f>
        <v>-33600.000000000007</v>
      </c>
      <c r="I26" s="400">
        <f t="shared" si="4"/>
        <v>-2.9344333263106908E-2</v>
      </c>
      <c r="J26" s="398"/>
      <c r="K26" s="400">
        <f t="shared" si="2"/>
        <v>4.1762556488443237E-2</v>
      </c>
      <c r="L26" s="398"/>
      <c r="M26" s="401"/>
      <c r="N26" s="371" t="s">
        <v>7</v>
      </c>
    </row>
    <row r="27" spans="1:15" ht="16.5" thickTop="1">
      <c r="N27" s="374" t="s">
        <v>419</v>
      </c>
    </row>
    <row r="28" spans="1:15">
      <c r="A28" s="402" t="s">
        <v>445</v>
      </c>
      <c r="M28" s="363" t="s">
        <v>415</v>
      </c>
      <c r="N28" s="403">
        <f>117000</f>
        <v>117000</v>
      </c>
    </row>
    <row r="29" spans="1:15">
      <c r="A29" s="404" t="s">
        <v>446</v>
      </c>
      <c r="N29" s="403"/>
    </row>
    <row r="32" spans="1:15">
      <c r="C32" s="376"/>
    </row>
    <row r="33" spans="3:3">
      <c r="C33" s="376"/>
    </row>
    <row r="34" spans="3:3">
      <c r="C34" s="376"/>
    </row>
    <row r="35" spans="3:3">
      <c r="C35" s="376"/>
    </row>
    <row r="36" spans="3:3">
      <c r="C36" s="376"/>
    </row>
    <row r="37" spans="3:3">
      <c r="C37" s="376"/>
    </row>
    <row r="38" spans="3:3">
      <c r="C38" s="376"/>
    </row>
    <row r="39" spans="3:3">
      <c r="C39" s="376"/>
    </row>
    <row r="40" spans="3:3">
      <c r="C40" s="376"/>
    </row>
    <row r="41" spans="3:3">
      <c r="C41" s="376"/>
    </row>
    <row r="42" spans="3:3">
      <c r="C42" s="376"/>
    </row>
    <row r="43" spans="3:3">
      <c r="C43" s="376"/>
    </row>
    <row r="44" spans="3:3">
      <c r="C44" s="376"/>
    </row>
    <row r="45" spans="3:3">
      <c r="C45" s="376"/>
    </row>
    <row r="46" spans="3:3">
      <c r="C46" s="376"/>
    </row>
    <row r="47" spans="3:3">
      <c r="C47" s="376"/>
    </row>
    <row r="48" spans="3:3">
      <c r="C48" s="376"/>
    </row>
    <row r="49" spans="3:3">
      <c r="C49" s="376"/>
    </row>
    <row r="50" spans="3:3">
      <c r="C50" s="376"/>
    </row>
    <row r="51" spans="3:3">
      <c r="C51" s="376"/>
    </row>
  </sheetData>
  <printOptions horizontalCentered="1"/>
  <pageMargins left="0.5" right="0.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Blocking</vt:lpstr>
      <vt:lpstr>Table A(GRC+REC)</vt:lpstr>
      <vt:lpstr>Stipulation</vt:lpstr>
      <vt:lpstr>Blocking!Print_Area</vt:lpstr>
      <vt:lpstr>Stipulation!Print_Area</vt:lpstr>
      <vt:lpstr>'Table A(GRC+REC)'!Print_Area</vt:lpstr>
      <vt:lpstr>Blocking!Print_Titles</vt:lpstr>
      <vt:lpstr>'Table A(GRC+REC)'!Print_Titles</vt:lpstr>
      <vt:lpstr>Blocking!Print_Titles_MI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 </cp:lastModifiedBy>
  <cp:lastPrinted>2011-09-08T16:33:26Z</cp:lastPrinted>
  <dcterms:created xsi:type="dcterms:W3CDTF">2011-08-12T17:00:16Z</dcterms:created>
  <dcterms:modified xsi:type="dcterms:W3CDTF">2011-09-21T18:51:30Z</dcterms:modified>
</cp:coreProperties>
</file>