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5480" windowHeight="11640"/>
  </bookViews>
  <sheets>
    <sheet name="Exh 1.1" sheetId="8" r:id="rId1"/>
    <sheet name="Exh 1.2" sheetId="6" r:id="rId2"/>
    <sheet name="Exh 1.3" sheetId="9" r:id="rId3"/>
    <sheet name="Exh 1.4" sheetId="10" r:id="rId4"/>
    <sheet name="Sheet2" sheetId="2" r:id="rId5"/>
    <sheet name="Sheet3" sheetId="3" r:id="rId6"/>
    <sheet name="Sheet4" sheetId="4" r:id="rId7"/>
    <sheet name="Sheet5" sheetId="5" r:id="rId8"/>
  </sheets>
  <calcPr calcId="125725"/>
</workbook>
</file>

<file path=xl/calcChain.xml><?xml version="1.0" encoding="utf-8"?>
<calcChain xmlns="http://schemas.openxmlformats.org/spreadsheetml/2006/main">
  <c r="F30" i="10"/>
  <c r="G18"/>
  <c r="B30"/>
  <c r="G30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17"/>
  <c r="H17" s="1"/>
  <c r="O36"/>
  <c r="O37"/>
  <c r="N30" s="1"/>
  <c r="N17" s="1"/>
  <c r="D18"/>
  <c r="E18" s="1"/>
  <c r="I18" s="1"/>
  <c r="L18" s="1"/>
  <c r="E17"/>
  <c r="I17" s="1"/>
  <c r="L17" s="1"/>
  <c r="P30"/>
  <c r="M17"/>
  <c r="M18"/>
  <c r="M19" s="1"/>
  <c r="M20" s="1"/>
  <c r="M21" s="1"/>
  <c r="M22" s="1"/>
  <c r="M23" s="1"/>
  <c r="M24" s="1"/>
  <c r="M25" s="1"/>
  <c r="M26" s="1"/>
  <c r="M27" s="1"/>
  <c r="M28" s="1"/>
  <c r="Q65" i="9"/>
  <c r="R53"/>
  <c r="I13"/>
  <c r="I14"/>
  <c r="I15"/>
  <c r="I16"/>
  <c r="I18"/>
  <c r="J18"/>
  <c r="I19"/>
  <c r="J19"/>
  <c r="I20"/>
  <c r="J20"/>
  <c r="I21"/>
  <c r="J21"/>
  <c r="I22"/>
  <c r="J22"/>
  <c r="I23"/>
  <c r="J23"/>
  <c r="I12"/>
  <c r="C45" i="8"/>
  <c r="B45"/>
  <c r="D43"/>
  <c r="H43" s="1"/>
  <c r="D42"/>
  <c r="E42" s="1"/>
  <c r="D41"/>
  <c r="H41" s="1"/>
  <c r="D40"/>
  <c r="E40" s="1"/>
  <c r="D39"/>
  <c r="H39" s="1"/>
  <c r="D38"/>
  <c r="E38" s="1"/>
  <c r="D37"/>
  <c r="H37" s="1"/>
  <c r="D36"/>
  <c r="E36" s="1"/>
  <c r="D35"/>
  <c r="H35" s="1"/>
  <c r="D34"/>
  <c r="E34" s="1"/>
  <c r="D33"/>
  <c r="H33" s="1"/>
  <c r="D32"/>
  <c r="E32" s="1"/>
  <c r="C25"/>
  <c r="B25"/>
  <c r="D23"/>
  <c r="H23" s="1"/>
  <c r="D22"/>
  <c r="H22" s="1"/>
  <c r="D21"/>
  <c r="H21" s="1"/>
  <c r="D20"/>
  <c r="H20" s="1"/>
  <c r="E19"/>
  <c r="D19"/>
  <c r="H19"/>
  <c r="D18"/>
  <c r="E18" s="1"/>
  <c r="E17"/>
  <c r="D17"/>
  <c r="H17"/>
  <c r="D16"/>
  <c r="E16" s="1"/>
  <c r="E15"/>
  <c r="D15"/>
  <c r="H15"/>
  <c r="D14"/>
  <c r="H14"/>
  <c r="D13"/>
  <c r="E13" s="1"/>
  <c r="E12"/>
  <c r="F12" s="1"/>
  <c r="G13" s="1"/>
  <c r="D12"/>
  <c r="D25"/>
  <c r="C45" i="6"/>
  <c r="B45"/>
  <c r="D43"/>
  <c r="D42"/>
  <c r="D41"/>
  <c r="D40"/>
  <c r="D39"/>
  <c r="D38"/>
  <c r="D37"/>
  <c r="D36"/>
  <c r="D35"/>
  <c r="D34"/>
  <c r="D33"/>
  <c r="D32"/>
  <c r="D13"/>
  <c r="D14"/>
  <c r="D15"/>
  <c r="D16"/>
  <c r="D17"/>
  <c r="D18"/>
  <c r="D19"/>
  <c r="D20"/>
  <c r="D21"/>
  <c r="D22"/>
  <c r="D23"/>
  <c r="D12"/>
  <c r="C25"/>
  <c r="B25"/>
  <c r="R62" i="9"/>
  <c r="R60"/>
  <c r="R58"/>
  <c r="R56"/>
  <c r="R54"/>
  <c r="R52"/>
  <c r="R63"/>
  <c r="R61"/>
  <c r="R59"/>
  <c r="R57"/>
  <c r="R55"/>
  <c r="K12" i="8"/>
  <c r="M12" s="1"/>
  <c r="L13" s="1"/>
  <c r="K13"/>
  <c r="E14"/>
  <c r="K14"/>
  <c r="K15"/>
  <c r="K16"/>
  <c r="K17"/>
  <c r="K18"/>
  <c r="K19"/>
  <c r="E20"/>
  <c r="K20"/>
  <c r="E21"/>
  <c r="K21"/>
  <c r="E22"/>
  <c r="K22"/>
  <c r="E23"/>
  <c r="K23"/>
  <c r="H32"/>
  <c r="J32" s="1"/>
  <c r="E33"/>
  <c r="H34"/>
  <c r="E35"/>
  <c r="H36"/>
  <c r="E37"/>
  <c r="H38"/>
  <c r="E39"/>
  <c r="H40"/>
  <c r="E41"/>
  <c r="H42"/>
  <c r="E43"/>
  <c r="D45"/>
  <c r="H12"/>
  <c r="J12" s="1"/>
  <c r="D25" i="6"/>
  <c r="C25" i="9" s="1"/>
  <c r="E23" i="6"/>
  <c r="E21"/>
  <c r="E19"/>
  <c r="E17"/>
  <c r="E15"/>
  <c r="E13"/>
  <c r="H23"/>
  <c r="H21"/>
  <c r="H19"/>
  <c r="H17"/>
  <c r="H15"/>
  <c r="H13"/>
  <c r="K23"/>
  <c r="K21"/>
  <c r="K19"/>
  <c r="K17"/>
  <c r="K15"/>
  <c r="K13"/>
  <c r="E12"/>
  <c r="E22"/>
  <c r="E20"/>
  <c r="E18"/>
  <c r="E16"/>
  <c r="E14"/>
  <c r="H12"/>
  <c r="H22"/>
  <c r="H20"/>
  <c r="H18"/>
  <c r="H16"/>
  <c r="H14"/>
  <c r="K12"/>
  <c r="K22"/>
  <c r="K20"/>
  <c r="K18"/>
  <c r="K16"/>
  <c r="K14"/>
  <c r="E32"/>
  <c r="H32"/>
  <c r="J32" s="1"/>
  <c r="E33"/>
  <c r="H33"/>
  <c r="E34"/>
  <c r="H34"/>
  <c r="E35"/>
  <c r="H35"/>
  <c r="E36"/>
  <c r="H36"/>
  <c r="E37"/>
  <c r="H37"/>
  <c r="E38"/>
  <c r="H38"/>
  <c r="E39"/>
  <c r="H39"/>
  <c r="E40"/>
  <c r="H40"/>
  <c r="E41"/>
  <c r="H41"/>
  <c r="E42"/>
  <c r="H42"/>
  <c r="E43"/>
  <c r="H43"/>
  <c r="D45"/>
  <c r="H25"/>
  <c r="K12" i="9"/>
  <c r="J12"/>
  <c r="I32" i="8"/>
  <c r="J33" s="1"/>
  <c r="L12"/>
  <c r="M13" s="1"/>
  <c r="K25"/>
  <c r="I12"/>
  <c r="F32" i="6"/>
  <c r="G33"/>
  <c r="G32"/>
  <c r="L12"/>
  <c r="M12"/>
  <c r="B12" i="9" s="1"/>
  <c r="K25" i="6"/>
  <c r="I12"/>
  <c r="J12"/>
  <c r="F12"/>
  <c r="G13"/>
  <c r="E25"/>
  <c r="G12"/>
  <c r="E45"/>
  <c r="H45"/>
  <c r="K13" i="9"/>
  <c r="J13"/>
  <c r="F33" i="6"/>
  <c r="M13"/>
  <c r="B13" i="9" s="1"/>
  <c r="B53" s="1"/>
  <c r="B33" s="1"/>
  <c r="L13" i="6"/>
  <c r="F13"/>
  <c r="I13"/>
  <c r="J13"/>
  <c r="K14" i="9"/>
  <c r="J14"/>
  <c r="G34" i="6"/>
  <c r="F34"/>
  <c r="J14"/>
  <c r="I14"/>
  <c r="G14"/>
  <c r="F14"/>
  <c r="L14"/>
  <c r="M14"/>
  <c r="B14" i="9" s="1"/>
  <c r="B54" s="1"/>
  <c r="B34" s="1"/>
  <c r="K15"/>
  <c r="J15"/>
  <c r="G35" i="6"/>
  <c r="F35"/>
  <c r="F36" s="1"/>
  <c r="L15"/>
  <c r="M15"/>
  <c r="B15" i="9" s="1"/>
  <c r="B55" s="1"/>
  <c r="B35" s="1"/>
  <c r="F15" i="6"/>
  <c r="G15"/>
  <c r="F16" s="1"/>
  <c r="G17" s="1"/>
  <c r="I15"/>
  <c r="J15"/>
  <c r="I16" s="1"/>
  <c r="J17" s="1"/>
  <c r="K16" i="9"/>
  <c r="J16"/>
  <c r="M16" i="6"/>
  <c r="B16" i="9" s="1"/>
  <c r="B56" s="1"/>
  <c r="B36" s="1"/>
  <c r="J16" i="6"/>
  <c r="G16"/>
  <c r="F17"/>
  <c r="F18" s="1"/>
  <c r="G19" s="1"/>
  <c r="K19" i="9"/>
  <c r="K20"/>
  <c r="K21"/>
  <c r="K22"/>
  <c r="K23"/>
  <c r="B52" l="1"/>
  <c r="M14" i="8"/>
  <c r="L14"/>
  <c r="I33"/>
  <c r="H45"/>
  <c r="C12" i="9"/>
  <c r="D12" s="1"/>
  <c r="H61"/>
  <c r="I61" s="1"/>
  <c r="H57"/>
  <c r="I57" s="1"/>
  <c r="C62"/>
  <c r="D62" s="1"/>
  <c r="C60"/>
  <c r="D60" s="1"/>
  <c r="C58"/>
  <c r="D58" s="1"/>
  <c r="C56"/>
  <c r="D56" s="1"/>
  <c r="C54"/>
  <c r="D54" s="1"/>
  <c r="H52"/>
  <c r="C23"/>
  <c r="D23" s="1"/>
  <c r="C19"/>
  <c r="D19" s="1"/>
  <c r="C15"/>
  <c r="D15" s="1"/>
  <c r="C22"/>
  <c r="D22" s="1"/>
  <c r="C18"/>
  <c r="D18" s="1"/>
  <c r="C14"/>
  <c r="D14" s="1"/>
  <c r="C63"/>
  <c r="D63" s="1"/>
  <c r="C61"/>
  <c r="D61" s="1"/>
  <c r="C59"/>
  <c r="D59" s="1"/>
  <c r="C57"/>
  <c r="D57" s="1"/>
  <c r="C55"/>
  <c r="D55" s="1"/>
  <c r="C53"/>
  <c r="D53" s="1"/>
  <c r="H53"/>
  <c r="I53" s="1"/>
  <c r="H63"/>
  <c r="I63" s="1"/>
  <c r="H59"/>
  <c r="I59" s="1"/>
  <c r="H55"/>
  <c r="I55" s="1"/>
  <c r="C52"/>
  <c r="H62"/>
  <c r="I62" s="1"/>
  <c r="H60"/>
  <c r="I60" s="1"/>
  <c r="H58"/>
  <c r="I58" s="1"/>
  <c r="H56"/>
  <c r="I56" s="1"/>
  <c r="H54"/>
  <c r="I54" s="1"/>
  <c r="H25"/>
  <c r="H17" s="1"/>
  <c r="I17" s="1"/>
  <c r="C21"/>
  <c r="D21" s="1"/>
  <c r="C17"/>
  <c r="D17" s="1"/>
  <c r="C13"/>
  <c r="D13" s="1"/>
  <c r="C20"/>
  <c r="D20" s="1"/>
  <c r="C16"/>
  <c r="D16" s="1"/>
  <c r="E25" i="8"/>
  <c r="G32"/>
  <c r="F32"/>
  <c r="G33" s="1"/>
  <c r="E45"/>
  <c r="N18" i="10"/>
  <c r="O17"/>
  <c r="F33" i="8"/>
  <c r="G34" s="1"/>
  <c r="G18" i="6"/>
  <c r="F19" s="1"/>
  <c r="I17"/>
  <c r="G37"/>
  <c r="L16"/>
  <c r="G36"/>
  <c r="I33"/>
  <c r="I32"/>
  <c r="J33" s="1"/>
  <c r="G12" i="8"/>
  <c r="H13"/>
  <c r="H16"/>
  <c r="H18"/>
  <c r="D19" i="10"/>
  <c r="E19" l="1"/>
  <c r="I19" s="1"/>
  <c r="D20"/>
  <c r="J34" i="6"/>
  <c r="I34"/>
  <c r="F20"/>
  <c r="G20"/>
  <c r="D32" i="9"/>
  <c r="Q17" i="10"/>
  <c r="J17" i="9"/>
  <c r="K17" s="1"/>
  <c r="I25"/>
  <c r="C65"/>
  <c r="D52"/>
  <c r="L15" i="8"/>
  <c r="M15"/>
  <c r="B32" i="9"/>
  <c r="I13" i="8"/>
  <c r="H25"/>
  <c r="L17" i="6"/>
  <c r="M17"/>
  <c r="I18"/>
  <c r="J18"/>
  <c r="O18" i="10"/>
  <c r="N19"/>
  <c r="H65" i="9"/>
  <c r="I52"/>
  <c r="F12"/>
  <c r="E13" s="1"/>
  <c r="F14" s="1"/>
  <c r="G14" s="1"/>
  <c r="E12"/>
  <c r="F13" s="1"/>
  <c r="G13" s="1"/>
  <c r="D25"/>
  <c r="I34" i="8"/>
  <c r="J34"/>
  <c r="F13"/>
  <c r="F34"/>
  <c r="J13"/>
  <c r="F37" i="6"/>
  <c r="E14" i="9" l="1"/>
  <c r="F15" s="1"/>
  <c r="G15" s="1"/>
  <c r="F38" i="6"/>
  <c r="G38"/>
  <c r="G35" i="8"/>
  <c r="F35"/>
  <c r="J35"/>
  <c r="I35"/>
  <c r="K52" i="9"/>
  <c r="J52"/>
  <c r="I65"/>
  <c r="N20" i="10"/>
  <c r="B17" i="9"/>
  <c r="F52"/>
  <c r="E52"/>
  <c r="D65"/>
  <c r="F32"/>
  <c r="E32"/>
  <c r="F21" i="6"/>
  <c r="G21"/>
  <c r="L19" i="10"/>
  <c r="O19" s="1"/>
  <c r="E15" i="9"/>
  <c r="G14" i="8"/>
  <c r="F14"/>
  <c r="G12" i="9"/>
  <c r="D33"/>
  <c r="Q18" i="10"/>
  <c r="J19" i="6"/>
  <c r="I19"/>
  <c r="M18"/>
  <c r="B18" i="9" s="1"/>
  <c r="B58" s="1"/>
  <c r="B38" s="1"/>
  <c r="L18" i="6"/>
  <c r="I14" i="8"/>
  <c r="J14"/>
  <c r="L16"/>
  <c r="M16"/>
  <c r="K25" i="9"/>
  <c r="J35" i="6"/>
  <c r="I35"/>
  <c r="E20" i="10"/>
  <c r="I20" s="1"/>
  <c r="L20" s="1"/>
  <c r="D21"/>
  <c r="D34" i="9" l="1"/>
  <c r="Q19" i="10"/>
  <c r="L17" i="8"/>
  <c r="M17"/>
  <c r="I15"/>
  <c r="J15"/>
  <c r="F33" i="9"/>
  <c r="E33"/>
  <c r="F53"/>
  <c r="G53" s="1"/>
  <c r="E53"/>
  <c r="L52"/>
  <c r="F39" i="6"/>
  <c r="G39"/>
  <c r="E21" i="10"/>
  <c r="I21" s="1"/>
  <c r="L21" s="1"/>
  <c r="D22"/>
  <c r="J36" i="6"/>
  <c r="I36"/>
  <c r="L19"/>
  <c r="M19"/>
  <c r="B19" i="9" s="1"/>
  <c r="B59" s="1"/>
  <c r="B39" s="1"/>
  <c r="I20" i="6"/>
  <c r="J20"/>
  <c r="G15" i="8"/>
  <c r="F15"/>
  <c r="F16" i="9"/>
  <c r="E16"/>
  <c r="G22" i="6"/>
  <c r="F22"/>
  <c r="G32" i="9"/>
  <c r="H32"/>
  <c r="G52"/>
  <c r="B57"/>
  <c r="O20" i="10"/>
  <c r="N21"/>
  <c r="K53" i="9"/>
  <c r="L53" s="1"/>
  <c r="J53"/>
  <c r="I36" i="8"/>
  <c r="J36"/>
  <c r="G36"/>
  <c r="F36"/>
  <c r="H33" i="9" l="1"/>
  <c r="I33" s="1"/>
  <c r="F34"/>
  <c r="E34"/>
  <c r="F37" i="8"/>
  <c r="G37"/>
  <c r="K54" i="9"/>
  <c r="J54"/>
  <c r="N22" i="10"/>
  <c r="O21"/>
  <c r="G16" i="9"/>
  <c r="I21" i="6"/>
  <c r="J21"/>
  <c r="M20"/>
  <c r="L20"/>
  <c r="F54" i="9"/>
  <c r="E54"/>
  <c r="J37" i="8"/>
  <c r="I37"/>
  <c r="D35" i="9"/>
  <c r="Q20" i="10"/>
  <c r="B37" i="9"/>
  <c r="I32"/>
  <c r="G23" i="6"/>
  <c r="G25" s="1"/>
  <c r="F23"/>
  <c r="F17" i="9"/>
  <c r="G17" s="1"/>
  <c r="E17"/>
  <c r="G16" i="8"/>
  <c r="F16"/>
  <c r="J37" i="6"/>
  <c r="I37"/>
  <c r="E22" i="10"/>
  <c r="I22" s="1"/>
  <c r="L22" s="1"/>
  <c r="D23"/>
  <c r="F40" i="6"/>
  <c r="G40"/>
  <c r="J16" i="8"/>
  <c r="I16"/>
  <c r="L18"/>
  <c r="M18"/>
  <c r="G33" i="9"/>
  <c r="H34" l="1"/>
  <c r="I34" s="1"/>
  <c r="G41" i="6"/>
  <c r="F41"/>
  <c r="F35" i="9"/>
  <c r="E35"/>
  <c r="G54"/>
  <c r="B20"/>
  <c r="I22" i="6"/>
  <c r="J22"/>
  <c r="O22" i="10"/>
  <c r="N23"/>
  <c r="L54" i="9"/>
  <c r="G38" i="8"/>
  <c r="F38"/>
  <c r="G34" i="9"/>
  <c r="L19" i="8"/>
  <c r="M19"/>
  <c r="I17"/>
  <c r="J17"/>
  <c r="E23" i="10"/>
  <c r="I23" s="1"/>
  <c r="L23" s="1"/>
  <c r="D24"/>
  <c r="J38" i="6"/>
  <c r="I38"/>
  <c r="F17" i="8"/>
  <c r="G17"/>
  <c r="F18" i="9"/>
  <c r="G18" s="1"/>
  <c r="E18"/>
  <c r="I38" i="8"/>
  <c r="J38"/>
  <c r="F55" i="9"/>
  <c r="G55" s="1"/>
  <c r="E55"/>
  <c r="L21" i="6"/>
  <c r="M21"/>
  <c r="B21" i="9" s="1"/>
  <c r="B61" s="1"/>
  <c r="B41" s="1"/>
  <c r="D36"/>
  <c r="Q21" i="10"/>
  <c r="K55" i="9"/>
  <c r="L55" s="1"/>
  <c r="J55"/>
  <c r="H35" l="1"/>
  <c r="I35" s="1"/>
  <c r="K56"/>
  <c r="L56" s="1"/>
  <c r="J56"/>
  <c r="F56"/>
  <c r="G56" s="1"/>
  <c r="E56"/>
  <c r="F19"/>
  <c r="E19"/>
  <c r="J39" i="6"/>
  <c r="I39"/>
  <c r="E24" i="10"/>
  <c r="I24" s="1"/>
  <c r="D25"/>
  <c r="F39" i="8"/>
  <c r="G39"/>
  <c r="N24" i="10"/>
  <c r="O23"/>
  <c r="G35" i="9"/>
  <c r="E36"/>
  <c r="F36"/>
  <c r="M22" i="6"/>
  <c r="B22" i="9" s="1"/>
  <c r="B62" s="1"/>
  <c r="B42" s="1"/>
  <c r="L22" i="6"/>
  <c r="J39" i="8"/>
  <c r="I39"/>
  <c r="G18"/>
  <c r="F18"/>
  <c r="J18"/>
  <c r="I18"/>
  <c r="L20"/>
  <c r="M20"/>
  <c r="D37" i="9"/>
  <c r="Q22" i="10"/>
  <c r="J23" i="6"/>
  <c r="J25" s="1"/>
  <c r="I23"/>
  <c r="B60" i="9"/>
  <c r="F42" i="6"/>
  <c r="G42"/>
  <c r="G43" l="1"/>
  <c r="G45" s="1"/>
  <c r="F43"/>
  <c r="B40" i="9"/>
  <c r="F37"/>
  <c r="E37"/>
  <c r="M21" i="8"/>
  <c r="L21"/>
  <c r="N25" i="10"/>
  <c r="G40" i="8"/>
  <c r="F40"/>
  <c r="L24" i="10"/>
  <c r="O24" s="1"/>
  <c r="G19" i="9"/>
  <c r="J19" i="8"/>
  <c r="I19"/>
  <c r="F19"/>
  <c r="G19"/>
  <c r="I40"/>
  <c r="J40"/>
  <c r="M23" i="6"/>
  <c r="L23"/>
  <c r="G36" i="9"/>
  <c r="D38"/>
  <c r="Q23" i="10"/>
  <c r="E25"/>
  <c r="I25" s="1"/>
  <c r="L25" s="1"/>
  <c r="D26"/>
  <c r="J40" i="6"/>
  <c r="I40"/>
  <c r="F20" i="9"/>
  <c r="G20" s="1"/>
  <c r="E20"/>
  <c r="F57"/>
  <c r="E57"/>
  <c r="K57"/>
  <c r="J57"/>
  <c r="H36"/>
  <c r="H37" l="1"/>
  <c r="I37" s="1"/>
  <c r="D39"/>
  <c r="Q24" i="10"/>
  <c r="K58" i="9"/>
  <c r="L58" s="1"/>
  <c r="J58"/>
  <c r="F58"/>
  <c r="G58" s="1"/>
  <c r="E58"/>
  <c r="F21"/>
  <c r="G21" s="1"/>
  <c r="E21"/>
  <c r="J41" i="6"/>
  <c r="I41"/>
  <c r="E26" i="10"/>
  <c r="I26" s="1"/>
  <c r="L26" s="1"/>
  <c r="D27"/>
  <c r="J20" i="8"/>
  <c r="I20"/>
  <c r="G41"/>
  <c r="F41"/>
  <c r="N26" i="10"/>
  <c r="O25"/>
  <c r="L22" i="8"/>
  <c r="M22"/>
  <c r="I36" i="9"/>
  <c r="L57"/>
  <c r="G57"/>
  <c r="F38"/>
  <c r="E38"/>
  <c r="B23"/>
  <c r="M25" i="6"/>
  <c r="J41" i="8"/>
  <c r="I41"/>
  <c r="F20"/>
  <c r="G20"/>
  <c r="G37" i="9"/>
  <c r="H38" s="1"/>
  <c r="I38" s="1"/>
  <c r="I42" i="8" l="1"/>
  <c r="J42"/>
  <c r="M23"/>
  <c r="M25" s="1"/>
  <c r="L23"/>
  <c r="O26" i="10"/>
  <c r="N27"/>
  <c r="F39" i="9"/>
  <c r="E39"/>
  <c r="F21" i="8"/>
  <c r="G21"/>
  <c r="B63" i="9"/>
  <c r="B25"/>
  <c r="G38"/>
  <c r="H39" s="1"/>
  <c r="D40"/>
  <c r="Q25" i="10"/>
  <c r="G42" i="8"/>
  <c r="F42"/>
  <c r="J21"/>
  <c r="I21"/>
  <c r="E27" i="10"/>
  <c r="I27" s="1"/>
  <c r="L27" s="1"/>
  <c r="D28"/>
  <c r="E28" s="1"/>
  <c r="I28" s="1"/>
  <c r="J42" i="6"/>
  <c r="I42"/>
  <c r="F22" i="9"/>
  <c r="G22" s="1"/>
  <c r="E22"/>
  <c r="F59"/>
  <c r="E59"/>
  <c r="K59"/>
  <c r="J59"/>
  <c r="L59" l="1"/>
  <c r="G59"/>
  <c r="E40"/>
  <c r="F40"/>
  <c r="I39"/>
  <c r="B43"/>
  <c r="B45" s="1"/>
  <c r="B65"/>
  <c r="G22" i="8"/>
  <c r="F22"/>
  <c r="D41" i="9"/>
  <c r="Q26" i="10"/>
  <c r="J43" i="8"/>
  <c r="J45" s="1"/>
  <c r="I43"/>
  <c r="G39" i="9"/>
  <c r="H40" s="1"/>
  <c r="I40" s="1"/>
  <c r="K60"/>
  <c r="L60" s="1"/>
  <c r="J60"/>
  <c r="F60"/>
  <c r="G60" s="1"/>
  <c r="E60"/>
  <c r="F23"/>
  <c r="E23"/>
  <c r="J43" i="6"/>
  <c r="J45" s="1"/>
  <c r="I43"/>
  <c r="L28" i="10"/>
  <c r="L30" s="1"/>
  <c r="I30"/>
  <c r="E30" s="1"/>
  <c r="I22" i="8"/>
  <c r="J22"/>
  <c r="G43"/>
  <c r="G45" s="1"/>
  <c r="F43"/>
  <c r="L17" i="9"/>
  <c r="L25" s="1"/>
  <c r="L26"/>
  <c r="N28" i="10"/>
  <c r="O28" s="1"/>
  <c r="O27"/>
  <c r="D43" i="9" l="1"/>
  <c r="Q28" i="10"/>
  <c r="O30"/>
  <c r="Q30" s="1"/>
  <c r="D42" i="9"/>
  <c r="Q27" i="10"/>
  <c r="F61" i="9"/>
  <c r="G61" s="1"/>
  <c r="E61"/>
  <c r="K61"/>
  <c r="L61" s="1"/>
  <c r="J61"/>
  <c r="F41"/>
  <c r="E41"/>
  <c r="J23" i="8"/>
  <c r="J25" s="1"/>
  <c r="I23"/>
  <c r="G23" i="9"/>
  <c r="G25" s="1"/>
  <c r="F25"/>
  <c r="G26" s="1"/>
  <c r="G23" i="8"/>
  <c r="G25" s="1"/>
  <c r="F23"/>
  <c r="G40" i="9"/>
  <c r="H41" s="1"/>
  <c r="I41" s="1"/>
  <c r="K62" l="1"/>
  <c r="L62" s="1"/>
  <c r="J62"/>
  <c r="F62"/>
  <c r="G62" s="1"/>
  <c r="E62"/>
  <c r="F43"/>
  <c r="E43"/>
  <c r="D45"/>
  <c r="F42"/>
  <c r="E42"/>
  <c r="G41"/>
  <c r="H42" s="1"/>
  <c r="I42" s="1"/>
  <c r="E45" l="1"/>
  <c r="F45"/>
  <c r="G42"/>
  <c r="H43" s="1"/>
  <c r="F63"/>
  <c r="E63"/>
  <c r="K63"/>
  <c r="J63"/>
  <c r="I46" l="1"/>
  <c r="I43"/>
  <c r="I45" s="1"/>
  <c r="H45"/>
  <c r="G43"/>
  <c r="L63"/>
  <c r="L65" s="1"/>
  <c r="K65"/>
  <c r="L66" s="1"/>
  <c r="G63"/>
  <c r="G65" s="1"/>
  <c r="F65"/>
  <c r="G66" s="1"/>
</calcChain>
</file>

<file path=xl/sharedStrings.xml><?xml version="1.0" encoding="utf-8"?>
<sst xmlns="http://schemas.openxmlformats.org/spreadsheetml/2006/main" count="133" uniqueCount="65">
  <si>
    <t>Analyis of the Carrying Charge Effect of the Allocation Scalar</t>
  </si>
  <si>
    <t>Utah NPC Base per Stipulation</t>
  </si>
  <si>
    <t>Versus No Scalar From the Stipulation in Docket No. 10-035-124</t>
  </si>
  <si>
    <t>5 Percent Deviation</t>
  </si>
  <si>
    <t>10 Percent Deviation</t>
  </si>
  <si>
    <t>20 Percent Deviation</t>
  </si>
  <si>
    <t>30 Percent Deviation</t>
  </si>
  <si>
    <t>50 Percent Deviation</t>
  </si>
  <si>
    <t>Peterson DPU Exhibit 1.1</t>
  </si>
  <si>
    <t xml:space="preserve">Docket No. 11-035-T10 </t>
  </si>
  <si>
    <t>Deviation Amount times 70 Percent</t>
  </si>
  <si>
    <t>Peterson DPU Exhibit 1.2</t>
  </si>
  <si>
    <t>Analyis of the Carrying Charges For Diviations from Stipulation</t>
  </si>
  <si>
    <t>Base Amounts in Docket No. 10-035-124</t>
  </si>
  <si>
    <t>Net Utah Base NPC</t>
  </si>
  <si>
    <t>Difference From Stipulation Carrying Charge</t>
  </si>
  <si>
    <t>Less Wheeling Revenues per Stipulation</t>
  </si>
  <si>
    <t>Cumulative Deviation plus Previous Month Interest</t>
  </si>
  <si>
    <t>Carrying Charge (Interest)</t>
  </si>
  <si>
    <t>Comparison of the Carrying Charge Differences  at 20 Percent Deviations</t>
  </si>
  <si>
    <t>For Different Monthly Spread Methods</t>
  </si>
  <si>
    <t>Carrying Charge of Utah NPC Base per Stipulation at 20 Percent Deviation from Base</t>
  </si>
  <si>
    <t>Alternative Scenario 1</t>
  </si>
  <si>
    <t>Uniform Distribution of Net Stipulation NPC</t>
  </si>
  <si>
    <t>Mid-Year One Time Payment</t>
  </si>
  <si>
    <t>Alternative Scenario 2</t>
  </si>
  <si>
    <t>Alternative Scenario 3</t>
  </si>
  <si>
    <t>Double Increasing Balance</t>
  </si>
  <si>
    <t>Double Declining Balance</t>
  </si>
  <si>
    <t>Total Company</t>
  </si>
  <si>
    <t>Wheeling Revenues</t>
  </si>
  <si>
    <t>Total Company MWh</t>
  </si>
  <si>
    <t>EBA 
(NPC only) $/MWh</t>
  </si>
  <si>
    <t>Utah Allocation Scalar</t>
  </si>
  <si>
    <t>Utah EBA 
(NPC only) $/MWh</t>
  </si>
  <si>
    <t>Utah MWh</t>
  </si>
  <si>
    <t>Utah NPC Base</t>
  </si>
  <si>
    <t>Utah Allocated</t>
  </si>
  <si>
    <t>Utah EBA $/MWh</t>
  </si>
  <si>
    <t>Total</t>
  </si>
  <si>
    <t xml:space="preserve">Footnotes:  (1) </t>
  </si>
  <si>
    <t>Utah Allocated Wheeling Revenues</t>
  </si>
  <si>
    <t xml:space="preserve">(2) </t>
  </si>
  <si>
    <t>SRM-3 Page 3.2.2</t>
  </si>
  <si>
    <t xml:space="preserve">(3) </t>
  </si>
  <si>
    <t>Firm Wheeling</t>
  </si>
  <si>
    <t xml:space="preserve">(4) </t>
  </si>
  <si>
    <t>Utah SG Allocation</t>
  </si>
  <si>
    <t xml:space="preserve">(5) </t>
  </si>
  <si>
    <t>Non-firm Wheeling</t>
  </si>
  <si>
    <t>Utah SE Allocation</t>
  </si>
  <si>
    <t>Monthly Utah NPC Spread Based On Relative Differences in Utah and System MWh</t>
  </si>
  <si>
    <t>Adapted From Stipulation Exhibit B, Docket No. 10-035-124</t>
  </si>
  <si>
    <t>Net Utah EBA Base</t>
  </si>
  <si>
    <t xml:space="preserve">Peterson DPU Exhibit 1.4 </t>
  </si>
  <si>
    <t xml:space="preserve">Peterson DPU Exhibit 1.3 </t>
  </si>
  <si>
    <t>Stipulation Net Utah Base NPC</t>
  </si>
  <si>
    <t>Difference Between Monthly Stipulation and Scenario 5 Spreads</t>
  </si>
  <si>
    <t>Weighted Up-Front Deviations Example</t>
  </si>
  <si>
    <t>Weighted Back-End Deviations Example</t>
  </si>
  <si>
    <t>Utah Percent of Total</t>
  </si>
  <si>
    <t>Ratio Monthly Utah Percent  to  Utah Average Percent</t>
  </si>
  <si>
    <t>Utah NPC Base times Utah Monthly Ratios</t>
  </si>
  <si>
    <t>Factor to Equalize NPC Totals</t>
  </si>
  <si>
    <t>Distribution Based Upon Monthly Percentages of Utah NPC To Utah Average (see Exhibit 1.4)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</si>
</sst>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mmm\-yyyy"/>
    <numFmt numFmtId="166" formatCode="_(&quot;$&quot;* #,##0_);_(&quot;$&quot;* \(#,##0\);_(&quot;$&quot;* &quot;-&quot;??_);_(@_)"/>
    <numFmt numFmtId="167" formatCode="_(* #,##0_);_(* \(#,##0\);_(* &quot;-&quot;??_);_(@_)"/>
    <numFmt numFmtId="168" formatCode="0.000%"/>
    <numFmt numFmtId="169" formatCode="_(&quot;$&quot;* #,##0.000_);_(&quot;$&quot;* \(#,##0.000\);_(&quot;$&quot;* &quot;-&quot;??_);_(@_)"/>
    <numFmt numFmtId="170" formatCode="_(* #,##0.000_);_(* \(#,##0.000\);_(* &quot;-&quot;??_);_(@_)"/>
    <numFmt numFmtId="171" formatCode="#,##0.000_);\(#,##0.000\)"/>
    <numFmt numFmtId="172" formatCode="#,##0.00000000_);\(#,##0.00000000\)"/>
    <numFmt numFmtId="173" formatCode="0.00000%"/>
  </numFmts>
  <fonts count="1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u/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164" fontId="0" fillId="0" borderId="0" xfId="0" applyNumberFormat="1"/>
    <xf numFmtId="5" fontId="0" fillId="0" borderId="0" xfId="0" applyNumberFormat="1"/>
    <xf numFmtId="5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5" fontId="0" fillId="0" borderId="1" xfId="0" applyNumberForma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5" fontId="3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5" fontId="5" fillId="0" borderId="0" xfId="0" applyNumberFormat="1" applyFont="1" applyAlignment="1">
      <alignment horizontal="centerContinuous"/>
    </xf>
    <xf numFmtId="166" fontId="0" fillId="0" borderId="0" xfId="2" applyNumberFormat="1" applyFont="1"/>
    <xf numFmtId="167" fontId="0" fillId="0" borderId="0" xfId="0" applyNumberFormat="1"/>
    <xf numFmtId="168" fontId="0" fillId="0" borderId="0" xfId="0" applyNumberFormat="1"/>
    <xf numFmtId="5" fontId="0" fillId="0" borderId="0" xfId="0" applyNumberFormat="1" applyAlignment="1"/>
    <xf numFmtId="0" fontId="2" fillId="0" borderId="0" xfId="0" applyFont="1" applyAlignment="1"/>
    <xf numFmtId="0" fontId="0" fillId="0" borderId="0" xfId="0" applyAlignment="1"/>
    <xf numFmtId="5" fontId="0" fillId="0" borderId="0" xfId="2" applyNumberFormat="1" applyFont="1"/>
    <xf numFmtId="5" fontId="2" fillId="0" borderId="0" xfId="0" applyNumberFormat="1" applyFont="1" applyAlignment="1">
      <alignment horizontal="centerContinuous"/>
    </xf>
    <xf numFmtId="166" fontId="0" fillId="0" borderId="0" xfId="0" applyNumberFormat="1"/>
    <xf numFmtId="168" fontId="0" fillId="0" borderId="0" xfId="3" applyNumberFormat="1" applyFont="1"/>
    <xf numFmtId="0" fontId="0" fillId="0" borderId="0" xfId="0" applyBorder="1"/>
    <xf numFmtId="0" fontId="6" fillId="0" borderId="0" xfId="0" applyFont="1"/>
    <xf numFmtId="5" fontId="6" fillId="0" borderId="0" xfId="0" applyNumberFormat="1" applyFont="1"/>
    <xf numFmtId="168" fontId="6" fillId="0" borderId="0" xfId="3" applyNumberFormat="1" applyFont="1"/>
    <xf numFmtId="167" fontId="6" fillId="0" borderId="0" xfId="1" applyNumberFormat="1" applyFont="1"/>
    <xf numFmtId="168" fontId="6" fillId="0" borderId="0" xfId="3" applyNumberFormat="1" applyFont="1" applyAlignment="1">
      <alignment horizontal="right"/>
    </xf>
    <xf numFmtId="167" fontId="6" fillId="0" borderId="0" xfId="1" applyNumberFormat="1" applyFont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0" xfId="0" applyFont="1" applyBorder="1"/>
    <xf numFmtId="169" fontId="6" fillId="0" borderId="0" xfId="2" applyNumberFormat="1" applyFont="1"/>
    <xf numFmtId="170" fontId="6" fillId="0" borderId="0" xfId="1" applyNumberFormat="1" applyFont="1"/>
    <xf numFmtId="169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167" fontId="7" fillId="0" borderId="0" xfId="1" applyNumberFormat="1" applyFont="1"/>
    <xf numFmtId="169" fontId="7" fillId="0" borderId="0" xfId="2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71" fontId="6" fillId="0" borderId="0" xfId="0" applyNumberFormat="1" applyFont="1" applyBorder="1" applyAlignment="1">
      <alignment horizontal="left"/>
    </xf>
    <xf numFmtId="171" fontId="6" fillId="0" borderId="0" xfId="0" applyNumberFormat="1" applyFont="1"/>
    <xf numFmtId="171" fontId="6" fillId="0" borderId="3" xfId="1" applyNumberFormat="1" applyFont="1" applyFill="1" applyBorder="1"/>
    <xf numFmtId="171" fontId="6" fillId="0" borderId="3" xfId="2" applyNumberFormat="1" applyFont="1" applyBorder="1"/>
    <xf numFmtId="10" fontId="6" fillId="0" borderId="0" xfId="0" applyNumberFormat="1" applyFont="1"/>
    <xf numFmtId="37" fontId="6" fillId="0" borderId="3" xfId="1" applyNumberFormat="1" applyFont="1" applyFill="1" applyBorder="1"/>
    <xf numFmtId="0" fontId="6" fillId="0" borderId="0" xfId="0" applyFont="1" applyBorder="1" applyAlignment="1">
      <alignment horizontal="centerContinuous"/>
    </xf>
    <xf numFmtId="165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10" fontId="3" fillId="0" borderId="2" xfId="0" applyNumberFormat="1" applyFont="1" applyBorder="1" applyAlignment="1">
      <alignment horizontal="center" wrapText="1"/>
    </xf>
    <xf numFmtId="5" fontId="4" fillId="0" borderId="0" xfId="0" applyNumberFormat="1" applyFont="1" applyAlignment="1">
      <alignment horizontal="right"/>
    </xf>
    <xf numFmtId="5" fontId="0" fillId="0" borderId="0" xfId="0" applyNumberFormat="1" applyAlignment="1">
      <alignment horizontal="right"/>
    </xf>
    <xf numFmtId="5" fontId="6" fillId="0" borderId="0" xfId="3" applyNumberFormat="1" applyFont="1" applyAlignment="1">
      <alignment horizontal="right"/>
    </xf>
    <xf numFmtId="5" fontId="6" fillId="0" borderId="0" xfId="3" applyNumberFormat="1" applyFont="1"/>
    <xf numFmtId="5" fontId="3" fillId="0" borderId="0" xfId="0" applyNumberFormat="1" applyFont="1" applyBorder="1" applyAlignment="1">
      <alignment horizontal="centerContinuous"/>
    </xf>
    <xf numFmtId="5" fontId="3" fillId="0" borderId="2" xfId="0" applyNumberFormat="1" applyFont="1" applyBorder="1" applyAlignment="1">
      <alignment horizontal="centerContinuous"/>
    </xf>
    <xf numFmtId="5" fontId="6" fillId="0" borderId="2" xfId="0" applyNumberFormat="1" applyFont="1" applyBorder="1" applyAlignment="1">
      <alignment horizontal="centerContinuous"/>
    </xf>
    <xf numFmtId="5" fontId="6" fillId="0" borderId="0" xfId="0" applyNumberFormat="1" applyFont="1" applyBorder="1"/>
    <xf numFmtId="5" fontId="3" fillId="0" borderId="2" xfId="0" applyNumberFormat="1" applyFont="1" applyBorder="1" applyAlignment="1">
      <alignment horizontal="center" wrapText="1"/>
    </xf>
    <xf numFmtId="5" fontId="6" fillId="0" borderId="0" xfId="0" applyNumberFormat="1" applyFont="1" applyAlignment="1">
      <alignment wrapText="1"/>
    </xf>
    <xf numFmtId="5" fontId="3" fillId="0" borderId="4" xfId="0" applyNumberFormat="1" applyFont="1" applyBorder="1" applyAlignment="1">
      <alignment horizontal="center" wrapText="1"/>
    </xf>
    <xf numFmtId="5" fontId="6" fillId="0" borderId="0" xfId="2" applyNumberFormat="1" applyFont="1"/>
    <xf numFmtId="5" fontId="7" fillId="0" borderId="0" xfId="0" applyNumberFormat="1" applyFont="1" applyBorder="1" applyAlignment="1">
      <alignment horizontal="center"/>
    </xf>
    <xf numFmtId="5" fontId="6" fillId="0" borderId="0" xfId="1" applyNumberFormat="1" applyFont="1"/>
    <xf numFmtId="5" fontId="6" fillId="0" borderId="3" xfId="2" applyNumberFormat="1" applyFont="1" applyFill="1" applyBorder="1"/>
    <xf numFmtId="5" fontId="3" fillId="0" borderId="0" xfId="0" applyNumberFormat="1" applyFont="1" applyBorder="1" applyAlignment="1">
      <alignment horizontal="center"/>
    </xf>
    <xf numFmtId="5" fontId="8" fillId="0" borderId="5" xfId="0" applyNumberFormat="1" applyFont="1" applyBorder="1" applyAlignment="1">
      <alignment horizontal="centerContinuous"/>
    </xf>
    <xf numFmtId="5" fontId="8" fillId="0" borderId="1" xfId="0" applyNumberFormat="1" applyFont="1" applyBorder="1" applyAlignment="1">
      <alignment horizontal="centerContinuous"/>
    </xf>
    <xf numFmtId="5" fontId="6" fillId="0" borderId="6" xfId="0" applyNumberFormat="1" applyFont="1" applyBorder="1"/>
    <xf numFmtId="5" fontId="6" fillId="0" borderId="7" xfId="0" applyNumberFormat="1" applyFont="1" applyBorder="1"/>
    <xf numFmtId="5" fontId="6" fillId="0" borderId="0" xfId="0" applyNumberFormat="1" applyFont="1" applyBorder="1" applyAlignment="1">
      <alignment horizontal="right"/>
    </xf>
    <xf numFmtId="5" fontId="6" fillId="0" borderId="8" xfId="2" applyNumberFormat="1" applyFont="1" applyBorder="1"/>
    <xf numFmtId="5" fontId="6" fillId="0" borderId="8" xfId="3" applyNumberFormat="1" applyFont="1" applyBorder="1"/>
    <xf numFmtId="5" fontId="6" fillId="0" borderId="8" xfId="0" applyNumberFormat="1" applyFont="1" applyBorder="1"/>
    <xf numFmtId="5" fontId="6" fillId="0" borderId="9" xfId="0" applyNumberFormat="1" applyFont="1" applyBorder="1"/>
    <xf numFmtId="5" fontId="6" fillId="0" borderId="2" xfId="0" applyNumberFormat="1" applyFont="1" applyBorder="1" applyAlignment="1">
      <alignment horizontal="right"/>
    </xf>
    <xf numFmtId="5" fontId="6" fillId="0" borderId="10" xfId="3" applyNumberFormat="1" applyFont="1" applyBorder="1"/>
    <xf numFmtId="172" fontId="6" fillId="0" borderId="0" xfId="0" applyNumberFormat="1" applyFont="1"/>
    <xf numFmtId="0" fontId="0" fillId="0" borderId="0" xfId="0" applyBorder="1" applyAlignment="1">
      <alignment horizontal="center" wrapText="1"/>
    </xf>
    <xf numFmtId="5" fontId="0" fillId="0" borderId="0" xfId="0" applyNumberFormat="1" applyBorder="1"/>
    <xf numFmtId="168" fontId="0" fillId="0" borderId="0" xfId="0" applyNumberFormat="1" applyBorder="1"/>
    <xf numFmtId="168" fontId="6" fillId="0" borderId="0" xfId="3" applyNumberFormat="1" applyFont="1" applyAlignment="1">
      <alignment horizontal="centerContinuous"/>
    </xf>
    <xf numFmtId="5" fontId="6" fillId="0" borderId="0" xfId="3" applyNumberFormat="1" applyFont="1" applyAlignment="1">
      <alignment horizontal="centerContinuous"/>
    </xf>
    <xf numFmtId="5" fontId="6" fillId="0" borderId="0" xfId="0" applyNumberFormat="1" applyFont="1" applyAlignment="1">
      <alignment horizontal="centerContinuous"/>
    </xf>
    <xf numFmtId="173" fontId="6" fillId="0" borderId="0" xfId="0" applyNumberFormat="1" applyFont="1"/>
    <xf numFmtId="173" fontId="6" fillId="0" borderId="0" xfId="1" applyNumberFormat="1" applyFont="1"/>
    <xf numFmtId="173" fontId="6" fillId="0" borderId="3" xfId="1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topLeftCell="D4" workbookViewId="0">
      <selection activeCell="G14" sqref="G14"/>
    </sheetView>
  </sheetViews>
  <sheetFormatPr defaultRowHeight="12.75"/>
  <cols>
    <col min="1" max="1" width="15.6640625" customWidth="1"/>
    <col min="2" max="4" width="14.83203125" style="2" customWidth="1"/>
    <col min="5" max="13" width="13.33203125" customWidth="1"/>
  </cols>
  <sheetData>
    <row r="2" spans="1:13">
      <c r="C2"/>
      <c r="D2"/>
      <c r="M2" s="8" t="s">
        <v>8</v>
      </c>
    </row>
    <row r="3" spans="1:13">
      <c r="C3"/>
      <c r="D3"/>
      <c r="L3" s="8"/>
      <c r="M3" s="9" t="s">
        <v>9</v>
      </c>
    </row>
    <row r="4" spans="1:13">
      <c r="C4"/>
      <c r="D4"/>
      <c r="L4" s="9"/>
    </row>
    <row r="5" spans="1:13" ht="18.75">
      <c r="A5" s="12" t="s">
        <v>0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8.75">
      <c r="A6" s="12" t="s">
        <v>2</v>
      </c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>
      <c r="C7"/>
      <c r="D7"/>
    </row>
    <row r="8" spans="1:13">
      <c r="C8"/>
      <c r="D8"/>
    </row>
    <row r="9" spans="1:13">
      <c r="E9" s="6" t="s">
        <v>3</v>
      </c>
      <c r="F9" s="6"/>
      <c r="G9" s="6"/>
      <c r="H9" s="6" t="s">
        <v>4</v>
      </c>
      <c r="I9" s="6"/>
      <c r="J9" s="5"/>
      <c r="K9" s="6" t="s">
        <v>5</v>
      </c>
      <c r="L9" s="6"/>
      <c r="M9" s="5"/>
    </row>
    <row r="10" spans="1:13" ht="68.099999999999994" customHeight="1">
      <c r="B10" s="3" t="s">
        <v>1</v>
      </c>
      <c r="C10" s="3" t="s">
        <v>16</v>
      </c>
      <c r="D10" s="3" t="s">
        <v>14</v>
      </c>
      <c r="E10" s="4" t="s">
        <v>10</v>
      </c>
      <c r="F10" s="4" t="s">
        <v>17</v>
      </c>
      <c r="G10" s="4" t="s">
        <v>18</v>
      </c>
      <c r="H10" s="4" t="s">
        <v>10</v>
      </c>
      <c r="I10" s="4" t="s">
        <v>17</v>
      </c>
      <c r="J10" s="4" t="s">
        <v>18</v>
      </c>
      <c r="K10" s="4" t="s">
        <v>10</v>
      </c>
      <c r="L10" s="4" t="s">
        <v>17</v>
      </c>
      <c r="M10" s="4" t="s">
        <v>18</v>
      </c>
    </row>
    <row r="11" spans="1:13" ht="7.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1">
        <v>40725</v>
      </c>
      <c r="B12" s="2">
        <v>61067789.294022635</v>
      </c>
      <c r="C12" s="14">
        <v>-2538480.7149133333</v>
      </c>
      <c r="D12" s="14">
        <f>+B12+C12</f>
        <v>58529308.579109304</v>
      </c>
      <c r="E12" s="2">
        <f>+$D12*0.7*0.05</f>
        <v>2048525.8002688256</v>
      </c>
      <c r="F12" s="2">
        <f>+E12+F11+G11</f>
        <v>2048525.8002688256</v>
      </c>
      <c r="G12" s="2">
        <f>((F11*0.005)+(E12*0.005/2))*0.00014</f>
        <v>0.71698403009408895</v>
      </c>
      <c r="H12" s="2">
        <f>+$D12*0.7*0.1</f>
        <v>4097051.6005376512</v>
      </c>
      <c r="I12" s="2">
        <f>+H12+I11+J11</f>
        <v>4097051.6005376512</v>
      </c>
      <c r="J12" s="2">
        <f>((I11*0.005)+(H12*0.005/2))*0.00014</f>
        <v>1.4339680601881779</v>
      </c>
      <c r="K12" s="2">
        <f>+$D12*0.7*0.2</f>
        <v>8194103.2010753024</v>
      </c>
      <c r="L12" s="2">
        <f>+K12+L11+M11</f>
        <v>8194103.2010753024</v>
      </c>
      <c r="M12" s="2">
        <f>((L11*0.005)+(K12*0.005/2))*0.00014</f>
        <v>2.8679361203763558</v>
      </c>
    </row>
    <row r="13" spans="1:13">
      <c r="A13" s="1">
        <v>40756</v>
      </c>
      <c r="B13" s="2">
        <v>66191900.559092447</v>
      </c>
      <c r="C13" s="15">
        <v>-2538480.7149133333</v>
      </c>
      <c r="D13" s="14">
        <f t="shared" ref="D13:D23" si="0">+B13+C13</f>
        <v>63653419.844179116</v>
      </c>
      <c r="E13" s="2">
        <f t="shared" ref="E13:E23" si="1">+$D13*0.7*0.05</f>
        <v>2227869.6945462688</v>
      </c>
      <c r="F13" s="2">
        <f t="shared" ref="F13:F23" si="2">+E13+F12+G12</f>
        <v>4276396.2117991243</v>
      </c>
      <c r="G13" s="2">
        <f t="shared" ref="G13:G23" si="3">((F12*0.005)+(E13*0.005/2))*0.00014</f>
        <v>2.213722453279372</v>
      </c>
      <c r="H13" s="2">
        <f t="shared" ref="H13:H23" si="4">+$D13*0.7*0.1</f>
        <v>4455739.3890925376</v>
      </c>
      <c r="I13" s="2">
        <f t="shared" ref="I13:I23" si="5">+H13+I12+J12</f>
        <v>8552792.4235982485</v>
      </c>
      <c r="J13" s="2">
        <f t="shared" ref="J13:J23" si="6">((I12*0.005)+(H13*0.005/2))*0.00014</f>
        <v>4.427444906558744</v>
      </c>
      <c r="K13" s="2">
        <f t="shared" ref="K13:K23" si="7">+$D13*0.7*0.2</f>
        <v>8911478.7781850751</v>
      </c>
      <c r="L13" s="2">
        <f t="shared" ref="L13:L23" si="8">+K13+L12+M12</f>
        <v>17105584.847196497</v>
      </c>
      <c r="M13" s="2">
        <f t="shared" ref="M13:M23" si="9">((L12*0.005)+(K13*0.005/2))*0.00014</f>
        <v>8.854889813117488</v>
      </c>
    </row>
    <row r="14" spans="1:13">
      <c r="A14" s="1">
        <v>40787</v>
      </c>
      <c r="B14" s="2">
        <v>53375488.64985086</v>
      </c>
      <c r="C14" s="15">
        <v>-2538480.7149133333</v>
      </c>
      <c r="D14" s="14">
        <f t="shared" si="0"/>
        <v>50837007.934937529</v>
      </c>
      <c r="E14" s="2">
        <f t="shared" si="1"/>
        <v>1779295.2777228137</v>
      </c>
      <c r="F14" s="2">
        <f t="shared" si="2"/>
        <v>6055693.7032443909</v>
      </c>
      <c r="G14" s="2">
        <f t="shared" si="3"/>
        <v>3.6162306954623711</v>
      </c>
      <c r="H14" s="2">
        <f t="shared" si="4"/>
        <v>3558590.5554456273</v>
      </c>
      <c r="I14" s="2">
        <f t="shared" si="5"/>
        <v>12111387.406488782</v>
      </c>
      <c r="J14" s="2">
        <f t="shared" si="6"/>
        <v>7.2324613909247422</v>
      </c>
      <c r="K14" s="2">
        <f t="shared" si="7"/>
        <v>7117181.1108912546</v>
      </c>
      <c r="L14" s="2">
        <f t="shared" si="8"/>
        <v>24222774.812977564</v>
      </c>
      <c r="M14" s="2">
        <f t="shared" si="9"/>
        <v>14.464922781849484</v>
      </c>
    </row>
    <row r="15" spans="1:13">
      <c r="A15" s="1">
        <v>40817</v>
      </c>
      <c r="B15" s="2">
        <v>47112268.26732669</v>
      </c>
      <c r="C15" s="15">
        <v>-2538480.7149133333</v>
      </c>
      <c r="D15" s="14">
        <f t="shared" si="0"/>
        <v>44573787.552413359</v>
      </c>
      <c r="E15" s="2">
        <f t="shared" si="1"/>
        <v>1560082.5643344675</v>
      </c>
      <c r="F15" s="2">
        <f t="shared" si="2"/>
        <v>7615779.8838095544</v>
      </c>
      <c r="G15" s="2">
        <f t="shared" si="3"/>
        <v>4.7850144897881366</v>
      </c>
      <c r="H15" s="2">
        <f t="shared" si="4"/>
        <v>3120165.128668935</v>
      </c>
      <c r="I15" s="2">
        <f t="shared" si="5"/>
        <v>15231559.767619109</v>
      </c>
      <c r="J15" s="2">
        <f t="shared" si="6"/>
        <v>9.5700289795762732</v>
      </c>
      <c r="K15" s="2">
        <f t="shared" si="7"/>
        <v>6240330.2573378701</v>
      </c>
      <c r="L15" s="2">
        <f t="shared" si="8"/>
        <v>30463119.535238218</v>
      </c>
      <c r="M15" s="2">
        <f t="shared" si="9"/>
        <v>19.140057959152546</v>
      </c>
    </row>
    <row r="16" spans="1:13">
      <c r="A16" s="1">
        <v>40848</v>
      </c>
      <c r="B16" s="2">
        <v>46392487.087703273</v>
      </c>
      <c r="C16" s="15">
        <v>-2538480.7149133333</v>
      </c>
      <c r="D16" s="14">
        <f t="shared" si="0"/>
        <v>43854006.372789942</v>
      </c>
      <c r="E16" s="2">
        <f t="shared" si="1"/>
        <v>1534890.2230476479</v>
      </c>
      <c r="F16" s="2">
        <f t="shared" si="2"/>
        <v>9150674.8918716926</v>
      </c>
      <c r="G16" s="2">
        <f t="shared" si="3"/>
        <v>5.8682574967333645</v>
      </c>
      <c r="H16" s="2">
        <f t="shared" si="4"/>
        <v>3069780.4460952957</v>
      </c>
      <c r="I16" s="2">
        <f t="shared" si="5"/>
        <v>18301349.783743385</v>
      </c>
      <c r="J16" s="2">
        <f t="shared" si="6"/>
        <v>11.736514993466729</v>
      </c>
      <c r="K16" s="2">
        <f t="shared" si="7"/>
        <v>6139560.8921905914</v>
      </c>
      <c r="L16" s="2">
        <f t="shared" si="8"/>
        <v>36602699.56748677</v>
      </c>
      <c r="M16" s="2">
        <f t="shared" si="9"/>
        <v>23.473029986933458</v>
      </c>
    </row>
    <row r="17" spans="1:13">
      <c r="A17" s="1">
        <v>40878</v>
      </c>
      <c r="B17" s="2">
        <v>49568599.556314558</v>
      </c>
      <c r="C17" s="15">
        <v>-2538480.7149133333</v>
      </c>
      <c r="D17" s="14">
        <f t="shared" si="0"/>
        <v>47030118.841401227</v>
      </c>
      <c r="E17" s="2">
        <f t="shared" si="1"/>
        <v>1646054.1594490428</v>
      </c>
      <c r="F17" s="2">
        <f t="shared" si="2"/>
        <v>10796734.919578232</v>
      </c>
      <c r="G17" s="2">
        <f t="shared" si="3"/>
        <v>6.9815913801173499</v>
      </c>
      <c r="H17" s="2">
        <f t="shared" si="4"/>
        <v>3292108.3188980855</v>
      </c>
      <c r="I17" s="2">
        <f t="shared" si="5"/>
        <v>21593469.839156464</v>
      </c>
      <c r="J17" s="2">
        <f t="shared" si="6"/>
        <v>13.9631827602347</v>
      </c>
      <c r="K17" s="2">
        <f t="shared" si="7"/>
        <v>6584216.637796171</v>
      </c>
      <c r="L17" s="2">
        <f t="shared" si="8"/>
        <v>43186939.678312927</v>
      </c>
      <c r="M17" s="2">
        <f t="shared" si="9"/>
        <v>27.9263655204694</v>
      </c>
    </row>
    <row r="18" spans="1:13">
      <c r="A18" s="1">
        <v>40909</v>
      </c>
      <c r="B18" s="2">
        <v>51632062.959980808</v>
      </c>
      <c r="C18" s="15">
        <v>-2538480.7149133333</v>
      </c>
      <c r="D18" s="14">
        <f t="shared" si="0"/>
        <v>49093582.245067477</v>
      </c>
      <c r="E18" s="2">
        <f t="shared" si="1"/>
        <v>1718275.3785773618</v>
      </c>
      <c r="F18" s="2">
        <f t="shared" si="2"/>
        <v>12515017.279746974</v>
      </c>
      <c r="G18" s="2">
        <f t="shared" si="3"/>
        <v>8.1591108262068381</v>
      </c>
      <c r="H18" s="2">
        <f t="shared" si="4"/>
        <v>3436550.7571547236</v>
      </c>
      <c r="I18" s="2">
        <f t="shared" si="5"/>
        <v>25030034.559493948</v>
      </c>
      <c r="J18" s="2">
        <f t="shared" si="6"/>
        <v>16.318221652413676</v>
      </c>
      <c r="K18" s="2">
        <f t="shared" si="7"/>
        <v>6873101.5143094473</v>
      </c>
      <c r="L18" s="2">
        <f t="shared" si="8"/>
        <v>50060069.118987896</v>
      </c>
      <c r="M18" s="2">
        <f t="shared" si="9"/>
        <v>32.636443304827353</v>
      </c>
    </row>
    <row r="19" spans="1:13">
      <c r="A19" s="1">
        <v>40940</v>
      </c>
      <c r="B19" s="2">
        <v>48052723.587454945</v>
      </c>
      <c r="C19" s="15">
        <v>-2538480.7149133333</v>
      </c>
      <c r="D19" s="14">
        <f t="shared" si="0"/>
        <v>45514242.872541614</v>
      </c>
      <c r="E19" s="2">
        <f t="shared" si="1"/>
        <v>1592998.5005389564</v>
      </c>
      <c r="F19" s="2">
        <f t="shared" si="2"/>
        <v>14108023.939396756</v>
      </c>
      <c r="G19" s="2">
        <f t="shared" si="3"/>
        <v>9.3180615710115156</v>
      </c>
      <c r="H19" s="2">
        <f t="shared" si="4"/>
        <v>3185997.0010779127</v>
      </c>
      <c r="I19" s="2">
        <f t="shared" si="5"/>
        <v>28216047.878793512</v>
      </c>
      <c r="J19" s="2">
        <f t="shared" si="6"/>
        <v>18.636123142023031</v>
      </c>
      <c r="K19" s="2">
        <f t="shared" si="7"/>
        <v>6371994.0021558255</v>
      </c>
      <c r="L19" s="2">
        <f t="shared" si="8"/>
        <v>56432095.757587023</v>
      </c>
      <c r="M19" s="2">
        <f t="shared" si="9"/>
        <v>37.272246284046062</v>
      </c>
    </row>
    <row r="20" spans="1:13">
      <c r="A20" s="1">
        <v>40969</v>
      </c>
      <c r="B20" s="2">
        <v>49622715.488342658</v>
      </c>
      <c r="C20" s="15">
        <v>-2538480.7149133333</v>
      </c>
      <c r="D20" s="14">
        <f t="shared" si="0"/>
        <v>47084234.773429327</v>
      </c>
      <c r="E20" s="2">
        <f t="shared" si="1"/>
        <v>1647948.2170700263</v>
      </c>
      <c r="F20" s="2">
        <f t="shared" si="2"/>
        <v>15755981.474528354</v>
      </c>
      <c r="G20" s="2">
        <f t="shared" si="3"/>
        <v>10.452398633552237</v>
      </c>
      <c r="H20" s="2">
        <f t="shared" si="4"/>
        <v>3295896.4341400526</v>
      </c>
      <c r="I20" s="2">
        <f t="shared" si="5"/>
        <v>31511962.949056707</v>
      </c>
      <c r="J20" s="2">
        <f t="shared" si="6"/>
        <v>20.904797267104474</v>
      </c>
      <c r="K20" s="2">
        <f t="shared" si="7"/>
        <v>6591792.8682801053</v>
      </c>
      <c r="L20" s="2">
        <f t="shared" si="8"/>
        <v>63023925.898113415</v>
      </c>
      <c r="M20" s="2">
        <f t="shared" si="9"/>
        <v>41.809594534208948</v>
      </c>
    </row>
    <row r="21" spans="1:13">
      <c r="A21" s="1">
        <v>41000</v>
      </c>
      <c r="B21" s="2">
        <v>50321077.096093766</v>
      </c>
      <c r="C21" s="15">
        <v>-2538480.7149133333</v>
      </c>
      <c r="D21" s="14">
        <f t="shared" si="0"/>
        <v>47782596.381180435</v>
      </c>
      <c r="E21" s="2">
        <f t="shared" si="1"/>
        <v>1672390.8733413152</v>
      </c>
      <c r="F21" s="2">
        <f t="shared" si="2"/>
        <v>17428382.8002683</v>
      </c>
      <c r="G21" s="2">
        <f t="shared" si="3"/>
        <v>11.614523837839307</v>
      </c>
      <c r="H21" s="2">
        <f t="shared" si="4"/>
        <v>3344781.7466826304</v>
      </c>
      <c r="I21" s="2">
        <f t="shared" si="5"/>
        <v>34856765.6005366</v>
      </c>
      <c r="J21" s="2">
        <f t="shared" si="6"/>
        <v>23.229047675678615</v>
      </c>
      <c r="K21" s="2">
        <f t="shared" si="7"/>
        <v>6689563.4933652608</v>
      </c>
      <c r="L21" s="2">
        <f t="shared" si="8"/>
        <v>69713531.2010732</v>
      </c>
      <c r="M21" s="2">
        <f t="shared" si="9"/>
        <v>46.45809535135723</v>
      </c>
    </row>
    <row r="22" spans="1:13">
      <c r="A22" s="1">
        <v>41030</v>
      </c>
      <c r="B22" s="2">
        <v>52745592.000905074</v>
      </c>
      <c r="C22" s="15">
        <v>-2538480.7149133333</v>
      </c>
      <c r="D22" s="14">
        <f t="shared" si="0"/>
        <v>50207111.285991743</v>
      </c>
      <c r="E22" s="2">
        <f t="shared" si="1"/>
        <v>1757248.8950097112</v>
      </c>
      <c r="F22" s="2">
        <f t="shared" si="2"/>
        <v>19185643.30980185</v>
      </c>
      <c r="G22" s="2">
        <f t="shared" si="3"/>
        <v>12.814905073441208</v>
      </c>
      <c r="H22" s="2">
        <f t="shared" si="4"/>
        <v>3514497.7900194223</v>
      </c>
      <c r="I22" s="2">
        <f t="shared" si="5"/>
        <v>38371286.619603701</v>
      </c>
      <c r="J22" s="2">
        <f t="shared" si="6"/>
        <v>25.629810146882416</v>
      </c>
      <c r="K22" s="2">
        <f t="shared" si="7"/>
        <v>7028995.5800388446</v>
      </c>
      <c r="L22" s="2">
        <f t="shared" si="8"/>
        <v>76742573.239207402</v>
      </c>
      <c r="M22" s="2">
        <f t="shared" si="9"/>
        <v>51.259620293764833</v>
      </c>
    </row>
    <row r="23" spans="1:13">
      <c r="A23" s="1">
        <v>41061</v>
      </c>
      <c r="B23" s="2">
        <v>52989794.730187006</v>
      </c>
      <c r="C23" s="15">
        <v>-2538480.7149133333</v>
      </c>
      <c r="D23" s="14">
        <f t="shared" si="0"/>
        <v>50451314.015273675</v>
      </c>
      <c r="E23" s="2">
        <f t="shared" si="1"/>
        <v>1765795.9905345787</v>
      </c>
      <c r="F23" s="2">
        <f t="shared" si="2"/>
        <v>20951452.115241501</v>
      </c>
      <c r="G23" s="2">
        <f t="shared" si="3"/>
        <v>14.047978913548398</v>
      </c>
      <c r="H23" s="2">
        <f t="shared" si="4"/>
        <v>3531591.9810691574</v>
      </c>
      <c r="I23" s="2">
        <f t="shared" si="5"/>
        <v>41902904.230483003</v>
      </c>
      <c r="J23" s="2">
        <f t="shared" si="6"/>
        <v>28.095957827096797</v>
      </c>
      <c r="K23" s="2">
        <f t="shared" si="7"/>
        <v>7063183.9621383147</v>
      </c>
      <c r="L23" s="2">
        <f t="shared" si="8"/>
        <v>83805808.460966006</v>
      </c>
      <c r="M23" s="2">
        <f t="shared" si="9"/>
        <v>56.191915654193593</v>
      </c>
    </row>
    <row r="24" spans="1:13" ht="7.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>
      <c r="B25" s="2">
        <f>SUM(B12:B24)</f>
        <v>629072499.27727473</v>
      </c>
      <c r="C25" s="2">
        <f t="shared" ref="C25:M25" si="10">SUM(C12:C24)</f>
        <v>-30461768.578960005</v>
      </c>
      <c r="D25" s="2">
        <f t="shared" si="10"/>
        <v>598610730.69831479</v>
      </c>
      <c r="E25" s="2">
        <f t="shared" si="10"/>
        <v>20951375.574441016</v>
      </c>
      <c r="F25" s="2"/>
      <c r="G25" s="2">
        <f t="shared" si="10"/>
        <v>90.588779401074191</v>
      </c>
      <c r="H25" s="2">
        <f t="shared" si="10"/>
        <v>41902751.148882031</v>
      </c>
      <c r="I25" s="2"/>
      <c r="J25" s="2">
        <f t="shared" si="10"/>
        <v>181.17755880214838</v>
      </c>
      <c r="K25" s="2">
        <f t="shared" si="10"/>
        <v>83805502.297764063</v>
      </c>
      <c r="L25" s="2"/>
      <c r="M25" s="2">
        <f t="shared" si="10"/>
        <v>362.35511760429677</v>
      </c>
    </row>
    <row r="26" spans="1:13">
      <c r="C26"/>
      <c r="D26"/>
    </row>
    <row r="29" spans="1:13">
      <c r="E29" s="6" t="s">
        <v>6</v>
      </c>
      <c r="F29" s="6"/>
      <c r="G29" s="5"/>
      <c r="H29" s="6" t="s">
        <v>7</v>
      </c>
      <c r="I29" s="5"/>
    </row>
    <row r="30" spans="1:13" ht="68.099999999999994" customHeight="1">
      <c r="B30" s="3" t="s">
        <v>1</v>
      </c>
      <c r="C30" s="3" t="s">
        <v>16</v>
      </c>
      <c r="D30" s="3" t="s">
        <v>14</v>
      </c>
      <c r="E30" s="4" t="s">
        <v>10</v>
      </c>
      <c r="F30" s="4" t="s">
        <v>17</v>
      </c>
      <c r="G30" s="4" t="s">
        <v>18</v>
      </c>
      <c r="H30" s="4" t="s">
        <v>10</v>
      </c>
      <c r="I30" s="4" t="s">
        <v>17</v>
      </c>
      <c r="J30" s="4" t="s">
        <v>18</v>
      </c>
    </row>
    <row r="31" spans="1:13" ht="7.5" customHeight="1">
      <c r="B31" s="7"/>
      <c r="C31" s="7"/>
      <c r="D31" s="7"/>
      <c r="E31" s="7"/>
      <c r="F31" s="7"/>
      <c r="G31" s="7"/>
      <c r="H31" s="7"/>
      <c r="I31" s="7"/>
      <c r="J31" s="7"/>
    </row>
    <row r="32" spans="1:13">
      <c r="A32" s="1">
        <v>40725</v>
      </c>
      <c r="B32" s="2">
        <v>61067789.294022635</v>
      </c>
      <c r="C32" s="14">
        <v>-2538480.7149133333</v>
      </c>
      <c r="D32" s="14">
        <f>+B32+C32</f>
        <v>58529308.579109304</v>
      </c>
      <c r="E32" s="2">
        <f>+$D32*0.7*0.3</f>
        <v>12291154.801612953</v>
      </c>
      <c r="F32" s="2">
        <f>+E32+F31+G31</f>
        <v>12291154.801612953</v>
      </c>
      <c r="G32" s="2">
        <f>((F31*0.005)+(E32*0.005/2))*0.00014</f>
        <v>4.3019041805645335</v>
      </c>
      <c r="H32" s="2">
        <f>+$D32*0.73*0.5</f>
        <v>21363197.631374896</v>
      </c>
      <c r="I32" s="2">
        <f>+H32+I31+J31</f>
        <v>21363197.631374896</v>
      </c>
      <c r="J32" s="2">
        <f>((I31*0.005)+(H32*0.005/2))*0.00014</f>
        <v>7.4771191709812124</v>
      </c>
    </row>
    <row r="33" spans="1:10">
      <c r="A33" s="1">
        <v>40756</v>
      </c>
      <c r="B33" s="2">
        <v>66191900.559092447</v>
      </c>
      <c r="C33" s="15">
        <v>-2538480.7149133333</v>
      </c>
      <c r="D33" s="14">
        <f t="shared" ref="D33:D43" si="11">+B33+C33</f>
        <v>63653419.844179116</v>
      </c>
      <c r="E33" s="2">
        <f t="shared" ref="E33:E43" si="12">+$D33*0.7*0.3</f>
        <v>13367218.167277614</v>
      </c>
      <c r="F33" s="2">
        <f t="shared" ref="F33:F43" si="13">+E33+F32+G32</f>
        <v>25658377.270794746</v>
      </c>
      <c r="G33" s="2">
        <f t="shared" ref="G33:G43" si="14">((F32*0.005)+(E33*0.005/2))*0.00014</f>
        <v>13.28233471967623</v>
      </c>
      <c r="H33" s="2">
        <f t="shared" ref="H33:H43" si="15">+$D33*0.73*0.5</f>
        <v>23233498.243125375</v>
      </c>
      <c r="I33" s="2">
        <f t="shared" ref="I33:I43" si="16">+H33+I32+J32</f>
        <v>44596703.351619445</v>
      </c>
      <c r="J33" s="2">
        <f t="shared" ref="J33:J43" si="17">((I32*0.005)+(H33*0.005/2))*0.00014</f>
        <v>23.085962727056305</v>
      </c>
    </row>
    <row r="34" spans="1:10">
      <c r="A34" s="1">
        <v>40787</v>
      </c>
      <c r="B34" s="2">
        <v>53375488.64985086</v>
      </c>
      <c r="C34" s="15">
        <v>-2538480.7149133333</v>
      </c>
      <c r="D34" s="14">
        <f t="shared" si="11"/>
        <v>50837007.934937529</v>
      </c>
      <c r="E34" s="2">
        <f t="shared" si="12"/>
        <v>10675771.666336881</v>
      </c>
      <c r="F34" s="2">
        <f t="shared" si="13"/>
        <v>36334162.219466351</v>
      </c>
      <c r="G34" s="2">
        <f t="shared" si="14"/>
        <v>21.697384172774232</v>
      </c>
      <c r="H34" s="2">
        <f t="shared" si="15"/>
        <v>18555507.896252196</v>
      </c>
      <c r="I34" s="2">
        <f t="shared" si="16"/>
        <v>63152234.333834365</v>
      </c>
      <c r="J34" s="2">
        <f t="shared" si="17"/>
        <v>37.712120109821882</v>
      </c>
    </row>
    <row r="35" spans="1:10">
      <c r="A35" s="1">
        <v>40817</v>
      </c>
      <c r="B35" s="2">
        <v>47112268.26732669</v>
      </c>
      <c r="C35" s="15">
        <v>-2538480.7149133333</v>
      </c>
      <c r="D35" s="14">
        <f t="shared" si="11"/>
        <v>44573787.552413359</v>
      </c>
      <c r="E35" s="2">
        <f t="shared" si="12"/>
        <v>9360495.3860068042</v>
      </c>
      <c r="F35" s="2">
        <f t="shared" si="13"/>
        <v>45694679.302857324</v>
      </c>
      <c r="G35" s="2">
        <f t="shared" si="14"/>
        <v>28.710086938728821</v>
      </c>
      <c r="H35" s="2">
        <f t="shared" si="15"/>
        <v>16269432.456630876</v>
      </c>
      <c r="I35" s="2">
        <f t="shared" si="16"/>
        <v>79421704.502585351</v>
      </c>
      <c r="J35" s="2">
        <f t="shared" si="17"/>
        <v>49.900865393504851</v>
      </c>
    </row>
    <row r="36" spans="1:10">
      <c r="A36" s="1">
        <v>40848</v>
      </c>
      <c r="B36" s="2">
        <v>46392487.087703273</v>
      </c>
      <c r="C36" s="15">
        <v>-2538480.7149133333</v>
      </c>
      <c r="D36" s="14">
        <f t="shared" si="11"/>
        <v>43854006.372789942</v>
      </c>
      <c r="E36" s="2">
        <f t="shared" si="12"/>
        <v>9209341.3382858858</v>
      </c>
      <c r="F36" s="2">
        <f t="shared" si="13"/>
        <v>54904049.351230152</v>
      </c>
      <c r="G36" s="2">
        <f t="shared" si="14"/>
        <v>35.209544980400189</v>
      </c>
      <c r="H36" s="2">
        <f t="shared" si="15"/>
        <v>16006712.326068329</v>
      </c>
      <c r="I36" s="2">
        <f t="shared" si="16"/>
        <v>95428466.729519069</v>
      </c>
      <c r="J36" s="2">
        <f t="shared" si="17"/>
        <v>61.197542465933665</v>
      </c>
    </row>
    <row r="37" spans="1:10">
      <c r="A37" s="1">
        <v>40878</v>
      </c>
      <c r="B37" s="2">
        <v>49568599.556314558</v>
      </c>
      <c r="C37" s="15">
        <v>-2538480.7149133333</v>
      </c>
      <c r="D37" s="14">
        <f t="shared" si="11"/>
        <v>47030118.841401227</v>
      </c>
      <c r="E37" s="2">
        <f t="shared" si="12"/>
        <v>9876324.9566942565</v>
      </c>
      <c r="F37" s="2">
        <f t="shared" si="13"/>
        <v>64780409.517469384</v>
      </c>
      <c r="G37" s="2">
        <f t="shared" si="14"/>
        <v>41.889548280704084</v>
      </c>
      <c r="H37" s="2">
        <f t="shared" si="15"/>
        <v>17165993.377111446</v>
      </c>
      <c r="I37" s="2">
        <f t="shared" si="16"/>
        <v>112594521.30417298</v>
      </c>
      <c r="J37" s="2">
        <f t="shared" si="17"/>
        <v>72.808024392652356</v>
      </c>
    </row>
    <row r="38" spans="1:10">
      <c r="A38" s="1">
        <v>40909</v>
      </c>
      <c r="B38" s="2">
        <v>51632062.959980808</v>
      </c>
      <c r="C38" s="15">
        <v>-2538480.7149133333</v>
      </c>
      <c r="D38" s="14">
        <f t="shared" si="11"/>
        <v>49093582.245067477</v>
      </c>
      <c r="E38" s="2">
        <f t="shared" si="12"/>
        <v>10309652.271464169</v>
      </c>
      <c r="F38" s="2">
        <f t="shared" si="13"/>
        <v>75090103.678481832</v>
      </c>
      <c r="G38" s="2">
        <f t="shared" si="14"/>
        <v>48.954664957241022</v>
      </c>
      <c r="H38" s="2">
        <f t="shared" si="15"/>
        <v>17919157.519449629</v>
      </c>
      <c r="I38" s="2">
        <f t="shared" si="16"/>
        <v>130513751.63164701</v>
      </c>
      <c r="J38" s="2">
        <f t="shared" si="17"/>
        <v>85.087870044728447</v>
      </c>
    </row>
    <row r="39" spans="1:10">
      <c r="A39" s="1">
        <v>40940</v>
      </c>
      <c r="B39" s="2">
        <v>48052723.587454945</v>
      </c>
      <c r="C39" s="15">
        <v>-2538480.7149133333</v>
      </c>
      <c r="D39" s="14">
        <f t="shared" si="11"/>
        <v>45514242.872541614</v>
      </c>
      <c r="E39" s="2">
        <f t="shared" si="12"/>
        <v>9557991.0032337382</v>
      </c>
      <c r="F39" s="2">
        <f t="shared" si="13"/>
        <v>84648143.636380538</v>
      </c>
      <c r="G39" s="2">
        <f t="shared" si="14"/>
        <v>55.908369426069079</v>
      </c>
      <c r="H39" s="2">
        <f t="shared" si="15"/>
        <v>16612698.648477688</v>
      </c>
      <c r="I39" s="2">
        <f t="shared" si="16"/>
        <v>147126535.36799473</v>
      </c>
      <c r="J39" s="2">
        <f t="shared" si="17"/>
        <v>97.17407066912007</v>
      </c>
    </row>
    <row r="40" spans="1:10">
      <c r="A40" s="1">
        <v>40969</v>
      </c>
      <c r="B40" s="2">
        <v>49622715.488342658</v>
      </c>
      <c r="C40" s="15">
        <v>-2538480.7149133333</v>
      </c>
      <c r="D40" s="14">
        <f t="shared" si="11"/>
        <v>47084234.773429327</v>
      </c>
      <c r="E40" s="2">
        <f t="shared" si="12"/>
        <v>9887689.3024201579</v>
      </c>
      <c r="F40" s="2">
        <f t="shared" si="13"/>
        <v>94535888.847170115</v>
      </c>
      <c r="G40" s="2">
        <f t="shared" si="14"/>
        <v>62.714391801313425</v>
      </c>
      <c r="H40" s="2">
        <f t="shared" si="15"/>
        <v>17185745.692301705</v>
      </c>
      <c r="I40" s="2">
        <f t="shared" si="16"/>
        <v>164312378.23436707</v>
      </c>
      <c r="J40" s="2">
        <f t="shared" si="17"/>
        <v>109.00358574990189</v>
      </c>
    </row>
    <row r="41" spans="1:10">
      <c r="A41" s="1">
        <v>41000</v>
      </c>
      <c r="B41" s="2">
        <v>50321077.096093766</v>
      </c>
      <c r="C41" s="15">
        <v>-2538480.7149133333</v>
      </c>
      <c r="D41" s="14">
        <f t="shared" si="11"/>
        <v>47782596.381180435</v>
      </c>
      <c r="E41" s="2">
        <f t="shared" si="12"/>
        <v>10034345.240047891</v>
      </c>
      <c r="F41" s="2">
        <f t="shared" si="13"/>
        <v>104570296.8016098</v>
      </c>
      <c r="G41" s="2">
        <f t="shared" si="14"/>
        <v>69.687143027035845</v>
      </c>
      <c r="H41" s="2">
        <f t="shared" si="15"/>
        <v>17440647.67913086</v>
      </c>
      <c r="I41" s="2">
        <f t="shared" si="16"/>
        <v>181753134.91708368</v>
      </c>
      <c r="J41" s="2">
        <f t="shared" si="17"/>
        <v>121.12289145175275</v>
      </c>
    </row>
    <row r="42" spans="1:10">
      <c r="A42" s="1">
        <v>41030</v>
      </c>
      <c r="B42" s="2">
        <v>52745592.000905074</v>
      </c>
      <c r="C42" s="15">
        <v>-2538480.7149133333</v>
      </c>
      <c r="D42" s="14">
        <f t="shared" si="11"/>
        <v>50207111.285991743</v>
      </c>
      <c r="E42" s="2">
        <f t="shared" si="12"/>
        <v>10543493.370058266</v>
      </c>
      <c r="F42" s="2">
        <f t="shared" si="13"/>
        <v>115113859.8588111</v>
      </c>
      <c r="G42" s="2">
        <f t="shared" si="14"/>
        <v>76.889430440647246</v>
      </c>
      <c r="H42" s="2">
        <f t="shared" si="15"/>
        <v>18325595.619386986</v>
      </c>
      <c r="I42" s="2">
        <f t="shared" si="16"/>
        <v>200078851.65936211</v>
      </c>
      <c r="J42" s="2">
        <f t="shared" si="17"/>
        <v>133.641152908744</v>
      </c>
    </row>
    <row r="43" spans="1:10">
      <c r="A43" s="1">
        <v>41061</v>
      </c>
      <c r="B43" s="2">
        <v>52989794.730187006</v>
      </c>
      <c r="C43" s="15">
        <v>-2538480.7149133333</v>
      </c>
      <c r="D43" s="14">
        <f t="shared" si="11"/>
        <v>50451314.015273675</v>
      </c>
      <c r="E43" s="2">
        <f t="shared" si="12"/>
        <v>10594775.943207471</v>
      </c>
      <c r="F43" s="2">
        <f t="shared" si="13"/>
        <v>125708712.691449</v>
      </c>
      <c r="G43" s="2">
        <f t="shared" si="14"/>
        <v>84.287873481290362</v>
      </c>
      <c r="H43" s="2">
        <f t="shared" si="15"/>
        <v>18414729.615574893</v>
      </c>
      <c r="I43" s="2">
        <f t="shared" si="16"/>
        <v>218493714.91608992</v>
      </c>
      <c r="J43" s="2">
        <f t="shared" si="17"/>
        <v>146.50035152700468</v>
      </c>
    </row>
    <row r="44" spans="1:10" ht="7.5" customHeight="1">
      <c r="C44" s="7"/>
      <c r="D44" s="7"/>
      <c r="E44" s="7"/>
      <c r="F44" s="7"/>
      <c r="G44" s="7"/>
      <c r="H44" s="7"/>
      <c r="I44" s="7"/>
      <c r="J44" s="7"/>
    </row>
    <row r="45" spans="1:10">
      <c r="B45" s="2">
        <f>SUM(B32:B44)</f>
        <v>629072499.27727473</v>
      </c>
      <c r="C45" s="2">
        <f>SUM(C32:C44)</f>
        <v>-30461768.578960005</v>
      </c>
      <c r="D45" s="2">
        <f>SUM(D32:D44)</f>
        <v>598610730.69831479</v>
      </c>
      <c r="E45" s="2">
        <f>SUM(E32:E44)</f>
        <v>125708253.44664609</v>
      </c>
      <c r="F45" s="2"/>
      <c r="G45" s="2">
        <f>SUM(G32:G44)</f>
        <v>543.53267640644503</v>
      </c>
      <c r="H45" s="2">
        <f>SUM(H32:H44)</f>
        <v>218492916.70488483</v>
      </c>
      <c r="I45" s="2"/>
      <c r="J45" s="2">
        <f>SUM(J32:J44)</f>
        <v>944.71155661120213</v>
      </c>
    </row>
    <row r="46" spans="1:10">
      <c r="C46"/>
      <c r="D46"/>
    </row>
  </sheetData>
  <phoneticPr fontId="9" type="noConversion"/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opLeftCell="D1" workbookViewId="0">
      <selection activeCell="D10" sqref="D10:D26"/>
    </sheetView>
  </sheetViews>
  <sheetFormatPr defaultRowHeight="12.75"/>
  <cols>
    <col min="1" max="1" width="15.6640625" customWidth="1"/>
    <col min="2" max="4" width="14.83203125" style="2" customWidth="1"/>
    <col min="5" max="13" width="13.33203125" customWidth="1"/>
  </cols>
  <sheetData>
    <row r="2" spans="1:13">
      <c r="M2" s="8" t="s">
        <v>11</v>
      </c>
    </row>
    <row r="3" spans="1:13">
      <c r="M3" s="9" t="s">
        <v>9</v>
      </c>
    </row>
    <row r="5" spans="1:13" ht="18.75">
      <c r="A5" s="12" t="s">
        <v>12</v>
      </c>
      <c r="B5" s="13"/>
      <c r="C5" s="13"/>
      <c r="D5" s="13"/>
      <c r="E5" s="12"/>
      <c r="F5" s="12"/>
      <c r="G5" s="12"/>
      <c r="H5" s="12"/>
      <c r="I5" s="12"/>
      <c r="J5" s="12"/>
      <c r="K5" s="12"/>
      <c r="L5" s="12"/>
      <c r="M5" s="12"/>
    </row>
    <row r="6" spans="1:13" ht="18.75">
      <c r="A6" s="12" t="s">
        <v>13</v>
      </c>
      <c r="B6" s="13"/>
      <c r="C6" s="13"/>
      <c r="D6" s="13"/>
      <c r="E6" s="12"/>
      <c r="F6" s="12"/>
      <c r="G6" s="12"/>
      <c r="H6" s="12"/>
      <c r="I6" s="12"/>
      <c r="J6" s="12"/>
      <c r="K6" s="12"/>
      <c r="L6" s="12"/>
      <c r="M6" s="12"/>
    </row>
    <row r="9" spans="1:13">
      <c r="E9" s="6" t="s">
        <v>3</v>
      </c>
      <c r="F9" s="6"/>
      <c r="G9" s="6"/>
      <c r="H9" s="6" t="s">
        <v>4</v>
      </c>
      <c r="I9" s="6"/>
      <c r="J9" s="5"/>
      <c r="K9" s="6" t="s">
        <v>5</v>
      </c>
      <c r="L9" s="6"/>
      <c r="M9" s="5"/>
    </row>
    <row r="10" spans="1:13" ht="68.099999999999994" customHeight="1">
      <c r="B10" s="3" t="s">
        <v>1</v>
      </c>
      <c r="C10" s="3" t="s">
        <v>16</v>
      </c>
      <c r="D10" s="3" t="s">
        <v>14</v>
      </c>
      <c r="E10" s="4" t="s">
        <v>10</v>
      </c>
      <c r="F10" s="4" t="s">
        <v>17</v>
      </c>
      <c r="G10" s="4" t="s">
        <v>18</v>
      </c>
      <c r="H10" s="4" t="s">
        <v>10</v>
      </c>
      <c r="I10" s="4" t="s">
        <v>17</v>
      </c>
      <c r="J10" s="4" t="s">
        <v>18</v>
      </c>
      <c r="K10" s="4" t="s">
        <v>10</v>
      </c>
      <c r="L10" s="4" t="s">
        <v>17</v>
      </c>
      <c r="M10" s="4" t="s">
        <v>18</v>
      </c>
    </row>
    <row r="11" spans="1:13" ht="7.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1">
        <v>40725</v>
      </c>
      <c r="B12" s="2">
        <v>61067789.294022635</v>
      </c>
      <c r="C12" s="14">
        <v>-2538480.7149133333</v>
      </c>
      <c r="D12" s="14">
        <f>+B12+C12</f>
        <v>58529308.579109304</v>
      </c>
      <c r="E12" s="2">
        <f>+$D12*0.7*0.05</f>
        <v>2048525.8002688256</v>
      </c>
      <c r="F12" s="2">
        <f>+E12+F11+G11</f>
        <v>2048525.8002688256</v>
      </c>
      <c r="G12" s="2">
        <f>(F11*0.005)+(E12*0.005/2)</f>
        <v>5121.3145006720642</v>
      </c>
      <c r="H12" s="2">
        <f>+$D12*0.7*0.1</f>
        <v>4097051.6005376512</v>
      </c>
      <c r="I12" s="2">
        <f>+H12+I11+J11</f>
        <v>4097051.6005376512</v>
      </c>
      <c r="J12" s="2">
        <f>(I11*0.005)+(H12*0.005/2)</f>
        <v>10242.629001344128</v>
      </c>
      <c r="K12" s="2">
        <f>+$D12*0.7*0.2</f>
        <v>8194103.2010753024</v>
      </c>
      <c r="L12" s="2">
        <f>+K12+L11+M11</f>
        <v>8194103.2010753024</v>
      </c>
      <c r="M12" s="2">
        <f>(L11*0.005)+(K12*0.005/2)</f>
        <v>20485.258002688257</v>
      </c>
    </row>
    <row r="13" spans="1:13">
      <c r="A13" s="1">
        <v>40756</v>
      </c>
      <c r="B13" s="2">
        <v>66191900.559092447</v>
      </c>
      <c r="C13" s="15">
        <v>-2538480.7149133333</v>
      </c>
      <c r="D13" s="14">
        <f t="shared" ref="D13:D23" si="0">+B13+C13</f>
        <v>63653419.844179116</v>
      </c>
      <c r="E13" s="2">
        <f t="shared" ref="E13:E23" si="1">+$D13*0.7*0.05</f>
        <v>2227869.6945462688</v>
      </c>
      <c r="F13" s="2">
        <f t="shared" ref="F13:F23" si="2">+E13+F12+G12</f>
        <v>4281516.8093157662</v>
      </c>
      <c r="G13" s="2">
        <f>(F12*0.005)+(E13*0.005/2)</f>
        <v>15812.303237709801</v>
      </c>
      <c r="H13" s="2">
        <f t="shared" ref="H13:H23" si="3">+$D13*0.7*0.1</f>
        <v>4455739.3890925376</v>
      </c>
      <c r="I13" s="2">
        <f t="shared" ref="I13:I23" si="4">+H13+I12+J12</f>
        <v>8563033.6186315324</v>
      </c>
      <c r="J13" s="2">
        <f>(I12*0.005)+(H13*0.005/2)</f>
        <v>31624.606475419601</v>
      </c>
      <c r="K13" s="2">
        <f t="shared" ref="K13:K23" si="5">+$D13*0.7*0.2</f>
        <v>8911478.7781850751</v>
      </c>
      <c r="L13" s="2">
        <f t="shared" ref="L13:L23" si="6">+K13+L12+M12</f>
        <v>17126067.237263065</v>
      </c>
      <c r="M13" s="2">
        <f>(L12*0.005)+(K13*0.005/2)</f>
        <v>63249.212950839203</v>
      </c>
    </row>
    <row r="14" spans="1:13">
      <c r="A14" s="1">
        <v>40787</v>
      </c>
      <c r="B14" s="2">
        <v>53375488.64985086</v>
      </c>
      <c r="C14" s="15">
        <v>-2538480.7149133333</v>
      </c>
      <c r="D14" s="14">
        <f t="shared" si="0"/>
        <v>50837007.934937529</v>
      </c>
      <c r="E14" s="2">
        <f t="shared" si="1"/>
        <v>1779295.2777228137</v>
      </c>
      <c r="F14" s="2">
        <f t="shared" si="2"/>
        <v>6076624.3902762905</v>
      </c>
      <c r="G14" s="2">
        <f t="shared" ref="G14:G23" si="7">(F13*0.005)+(E14*0.005/2)</f>
        <v>25855.822240885864</v>
      </c>
      <c r="H14" s="2">
        <f t="shared" si="3"/>
        <v>3558590.5554456273</v>
      </c>
      <c r="I14" s="2">
        <f t="shared" si="4"/>
        <v>12153248.780552581</v>
      </c>
      <c r="J14" s="2">
        <f t="shared" ref="J14:J23" si="8">(I13*0.005)+(H14*0.005/2)</f>
        <v>51711.644481771727</v>
      </c>
      <c r="K14" s="2">
        <f t="shared" si="5"/>
        <v>7117181.1108912546</v>
      </c>
      <c r="L14" s="2">
        <f t="shared" si="6"/>
        <v>24306497.561105162</v>
      </c>
      <c r="M14" s="2">
        <f t="shared" ref="M14:M23" si="9">(L13*0.005)+(K14*0.005/2)</f>
        <v>103423.28896354345</v>
      </c>
    </row>
    <row r="15" spans="1:13">
      <c r="A15" s="1">
        <v>40817</v>
      </c>
      <c r="B15" s="2">
        <v>47112268.26732669</v>
      </c>
      <c r="C15" s="15">
        <v>-2538480.7149133333</v>
      </c>
      <c r="D15" s="14">
        <f t="shared" si="0"/>
        <v>44573787.552413359</v>
      </c>
      <c r="E15" s="2">
        <f t="shared" si="1"/>
        <v>1560082.5643344675</v>
      </c>
      <c r="F15" s="2">
        <f t="shared" si="2"/>
        <v>7662562.7768516438</v>
      </c>
      <c r="G15" s="2">
        <f t="shared" si="7"/>
        <v>34283.328362217624</v>
      </c>
      <c r="H15" s="2">
        <f t="shared" si="3"/>
        <v>3120165.128668935</v>
      </c>
      <c r="I15" s="2">
        <f t="shared" si="4"/>
        <v>15325125.553703288</v>
      </c>
      <c r="J15" s="2">
        <f t="shared" si="8"/>
        <v>68566.656724435248</v>
      </c>
      <c r="K15" s="2">
        <f t="shared" si="5"/>
        <v>6240330.2573378701</v>
      </c>
      <c r="L15" s="2">
        <f t="shared" si="6"/>
        <v>30650251.107406575</v>
      </c>
      <c r="M15" s="2">
        <f t="shared" si="9"/>
        <v>137133.3134488705</v>
      </c>
    </row>
    <row r="16" spans="1:13">
      <c r="A16" s="1">
        <v>40848</v>
      </c>
      <c r="B16" s="2">
        <v>46392487.087703273</v>
      </c>
      <c r="C16" s="15">
        <v>-2538480.7149133333</v>
      </c>
      <c r="D16" s="14">
        <f t="shared" si="0"/>
        <v>43854006.372789942</v>
      </c>
      <c r="E16" s="2">
        <f t="shared" si="1"/>
        <v>1534890.2230476479</v>
      </c>
      <c r="F16" s="2">
        <f t="shared" si="2"/>
        <v>9231736.3282615095</v>
      </c>
      <c r="G16" s="2">
        <f t="shared" si="7"/>
        <v>42150.039441877336</v>
      </c>
      <c r="H16" s="2">
        <f t="shared" si="3"/>
        <v>3069780.4460952957</v>
      </c>
      <c r="I16" s="2">
        <f t="shared" si="4"/>
        <v>18463472.656523019</v>
      </c>
      <c r="J16" s="2">
        <f t="shared" si="8"/>
        <v>84300.078883754672</v>
      </c>
      <c r="K16" s="2">
        <f t="shared" si="5"/>
        <v>6139560.8921905914</v>
      </c>
      <c r="L16" s="2">
        <f t="shared" si="6"/>
        <v>36926945.313046038</v>
      </c>
      <c r="M16" s="2">
        <f t="shared" si="9"/>
        <v>168600.15776750934</v>
      </c>
    </row>
    <row r="17" spans="1:13">
      <c r="A17" s="1">
        <v>40878</v>
      </c>
      <c r="B17" s="2">
        <v>49568599.556314558</v>
      </c>
      <c r="C17" s="15">
        <v>-2538480.7149133333</v>
      </c>
      <c r="D17" s="14">
        <f t="shared" si="0"/>
        <v>47030118.841401227</v>
      </c>
      <c r="E17" s="2">
        <f t="shared" si="1"/>
        <v>1646054.1594490428</v>
      </c>
      <c r="F17" s="2">
        <f t="shared" si="2"/>
        <v>10919940.52715243</v>
      </c>
      <c r="G17" s="2">
        <f t="shared" si="7"/>
        <v>50273.81703993016</v>
      </c>
      <c r="H17" s="2">
        <f t="shared" si="3"/>
        <v>3292108.3188980855</v>
      </c>
      <c r="I17" s="2">
        <f t="shared" si="4"/>
        <v>21839881.054304861</v>
      </c>
      <c r="J17" s="2">
        <f t="shared" si="8"/>
        <v>100547.63407986032</v>
      </c>
      <c r="K17" s="2">
        <f t="shared" si="5"/>
        <v>6584216.637796171</v>
      </c>
      <c r="L17" s="2">
        <f t="shared" si="6"/>
        <v>43679762.108609721</v>
      </c>
      <c r="M17" s="2">
        <f t="shared" si="9"/>
        <v>201095.26815972064</v>
      </c>
    </row>
    <row r="18" spans="1:13">
      <c r="A18" s="1">
        <v>40909</v>
      </c>
      <c r="B18" s="2">
        <v>51632062.959980808</v>
      </c>
      <c r="C18" s="15">
        <v>-2538480.7149133333</v>
      </c>
      <c r="D18" s="14">
        <f t="shared" si="0"/>
        <v>49093582.245067477</v>
      </c>
      <c r="E18" s="2">
        <f t="shared" si="1"/>
        <v>1718275.3785773618</v>
      </c>
      <c r="F18" s="2">
        <f t="shared" si="2"/>
        <v>12688489.722769722</v>
      </c>
      <c r="G18" s="2">
        <f t="shared" si="7"/>
        <v>58895.391082205555</v>
      </c>
      <c r="H18" s="2">
        <f t="shared" si="3"/>
        <v>3436550.7571547236</v>
      </c>
      <c r="I18" s="2">
        <f t="shared" si="4"/>
        <v>25376979.445539445</v>
      </c>
      <c r="J18" s="2">
        <f t="shared" si="8"/>
        <v>117790.78216441111</v>
      </c>
      <c r="K18" s="2">
        <f t="shared" si="5"/>
        <v>6873101.5143094473</v>
      </c>
      <c r="L18" s="2">
        <f t="shared" si="6"/>
        <v>50753958.891078889</v>
      </c>
      <c r="M18" s="2">
        <f t="shared" si="9"/>
        <v>235581.56432882222</v>
      </c>
    </row>
    <row r="19" spans="1:13">
      <c r="A19" s="1">
        <v>40940</v>
      </c>
      <c r="B19" s="2">
        <v>48052723.587454945</v>
      </c>
      <c r="C19" s="15">
        <v>-2538480.7149133333</v>
      </c>
      <c r="D19" s="14">
        <f t="shared" si="0"/>
        <v>45514242.872541614</v>
      </c>
      <c r="E19" s="2">
        <f t="shared" si="1"/>
        <v>1592998.5005389564</v>
      </c>
      <c r="F19" s="2">
        <f t="shared" si="2"/>
        <v>14340383.614390884</v>
      </c>
      <c r="G19" s="2">
        <f t="shared" si="7"/>
        <v>67424.944865195997</v>
      </c>
      <c r="H19" s="2">
        <f t="shared" si="3"/>
        <v>3185997.0010779127</v>
      </c>
      <c r="I19" s="2">
        <f t="shared" si="4"/>
        <v>28680767.228781767</v>
      </c>
      <c r="J19" s="2">
        <f t="shared" si="8"/>
        <v>134849.88973039199</v>
      </c>
      <c r="K19" s="2">
        <f t="shared" si="5"/>
        <v>6371994.0021558255</v>
      </c>
      <c r="L19" s="2">
        <f t="shared" si="6"/>
        <v>57361534.457563534</v>
      </c>
      <c r="M19" s="2">
        <f t="shared" si="9"/>
        <v>269699.77946078399</v>
      </c>
    </row>
    <row r="20" spans="1:13">
      <c r="A20" s="1">
        <v>40969</v>
      </c>
      <c r="B20" s="2">
        <v>49622715.488342658</v>
      </c>
      <c r="C20" s="15">
        <v>-2538480.7149133333</v>
      </c>
      <c r="D20" s="14">
        <f t="shared" si="0"/>
        <v>47084234.773429327</v>
      </c>
      <c r="E20" s="2">
        <f t="shared" si="1"/>
        <v>1647948.2170700263</v>
      </c>
      <c r="F20" s="2">
        <f t="shared" si="2"/>
        <v>16055756.776326105</v>
      </c>
      <c r="G20" s="2">
        <f t="shared" si="7"/>
        <v>75821.788614629491</v>
      </c>
      <c r="H20" s="2">
        <f t="shared" si="3"/>
        <v>3295896.4341400526</v>
      </c>
      <c r="I20" s="2">
        <f t="shared" si="4"/>
        <v>32111513.55265221</v>
      </c>
      <c r="J20" s="2">
        <f t="shared" si="8"/>
        <v>151643.57722925898</v>
      </c>
      <c r="K20" s="2">
        <f t="shared" si="5"/>
        <v>6591792.8682801053</v>
      </c>
      <c r="L20" s="2">
        <f t="shared" si="6"/>
        <v>64223027.10530442</v>
      </c>
      <c r="M20" s="2">
        <f t="shared" si="9"/>
        <v>303287.15445851797</v>
      </c>
    </row>
    <row r="21" spans="1:13">
      <c r="A21" s="1">
        <v>41000</v>
      </c>
      <c r="B21" s="2">
        <v>50321077.096093766</v>
      </c>
      <c r="C21" s="15">
        <v>-2538480.7149133333</v>
      </c>
      <c r="D21" s="14">
        <f t="shared" si="0"/>
        <v>47782596.381180435</v>
      </c>
      <c r="E21" s="2">
        <f t="shared" si="1"/>
        <v>1672390.8733413152</v>
      </c>
      <c r="F21" s="2">
        <f t="shared" si="2"/>
        <v>17803969.43828205</v>
      </c>
      <c r="G21" s="2">
        <f t="shared" si="7"/>
        <v>84459.761064983817</v>
      </c>
      <c r="H21" s="2">
        <f t="shared" si="3"/>
        <v>3344781.7466826304</v>
      </c>
      <c r="I21" s="2">
        <f t="shared" si="4"/>
        <v>35607938.8765641</v>
      </c>
      <c r="J21" s="2">
        <f t="shared" si="8"/>
        <v>168919.52212996763</v>
      </c>
      <c r="K21" s="2">
        <f t="shared" si="5"/>
        <v>6689563.4933652608</v>
      </c>
      <c r="L21" s="2">
        <f t="shared" si="6"/>
        <v>71215877.753128201</v>
      </c>
      <c r="M21" s="2">
        <f t="shared" si="9"/>
        <v>337839.04425993527</v>
      </c>
    </row>
    <row r="22" spans="1:13">
      <c r="A22" s="1">
        <v>41030</v>
      </c>
      <c r="B22" s="2">
        <v>52745592.000905074</v>
      </c>
      <c r="C22" s="15">
        <v>-2538480.7149133333</v>
      </c>
      <c r="D22" s="14">
        <f t="shared" si="0"/>
        <v>50207111.285991743</v>
      </c>
      <c r="E22" s="2">
        <f t="shared" si="1"/>
        <v>1757248.8950097112</v>
      </c>
      <c r="F22" s="2">
        <f t="shared" si="2"/>
        <v>19645678.094356745</v>
      </c>
      <c r="G22" s="2">
        <f t="shared" si="7"/>
        <v>93412.969428934535</v>
      </c>
      <c r="H22" s="2">
        <f t="shared" si="3"/>
        <v>3514497.7900194223</v>
      </c>
      <c r="I22" s="2">
        <f t="shared" si="4"/>
        <v>39291356.188713491</v>
      </c>
      <c r="J22" s="2">
        <f t="shared" si="8"/>
        <v>186825.93885786907</v>
      </c>
      <c r="K22" s="2">
        <f t="shared" si="5"/>
        <v>7028995.5800388446</v>
      </c>
      <c r="L22" s="2">
        <f t="shared" si="6"/>
        <v>78582712.377426982</v>
      </c>
      <c r="M22" s="2">
        <f t="shared" si="9"/>
        <v>373651.87771573814</v>
      </c>
    </row>
    <row r="23" spans="1:13">
      <c r="A23" s="1">
        <v>41061</v>
      </c>
      <c r="B23" s="2">
        <v>52989794.730187006</v>
      </c>
      <c r="C23" s="15">
        <v>-2538480.7149133333</v>
      </c>
      <c r="D23" s="14">
        <f t="shared" si="0"/>
        <v>50451314.015273675</v>
      </c>
      <c r="E23" s="2">
        <f t="shared" si="1"/>
        <v>1765795.9905345787</v>
      </c>
      <c r="F23" s="2">
        <f t="shared" si="2"/>
        <v>21504887.054320257</v>
      </c>
      <c r="G23" s="2">
        <f t="shared" si="7"/>
        <v>102642.88044812018</v>
      </c>
      <c r="H23" s="2">
        <f t="shared" si="3"/>
        <v>3531591.9810691574</v>
      </c>
      <c r="I23" s="2">
        <f t="shared" si="4"/>
        <v>43009774.108640514</v>
      </c>
      <c r="J23" s="2">
        <f t="shared" si="8"/>
        <v>205285.76089624036</v>
      </c>
      <c r="K23" s="2">
        <f t="shared" si="5"/>
        <v>7063183.9621383147</v>
      </c>
      <c r="L23" s="2">
        <f t="shared" si="6"/>
        <v>86019548.217281029</v>
      </c>
      <c r="M23" s="2">
        <f t="shared" si="9"/>
        <v>410571.52179248072</v>
      </c>
    </row>
    <row r="24" spans="1:13" ht="7.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>
      <c r="B25" s="2">
        <f>SUM(B12:B24)</f>
        <v>629072499.27727473</v>
      </c>
      <c r="C25" s="2">
        <f t="shared" ref="C25:M25" si="10">SUM(C12:C24)</f>
        <v>-30461768.578960005</v>
      </c>
      <c r="D25" s="2">
        <f t="shared" si="10"/>
        <v>598610730.69831479</v>
      </c>
      <c r="E25" s="2">
        <f t="shared" si="10"/>
        <v>20951375.574441016</v>
      </c>
      <c r="F25" s="2"/>
      <c r="G25" s="2">
        <f t="shared" si="10"/>
        <v>656154.36032736232</v>
      </c>
      <c r="H25" s="2">
        <f t="shared" si="10"/>
        <v>41902751.148882031</v>
      </c>
      <c r="I25" s="2"/>
      <c r="J25" s="2">
        <f t="shared" si="10"/>
        <v>1312308.7206547246</v>
      </c>
      <c r="K25" s="2">
        <f t="shared" si="10"/>
        <v>83805502.297764063</v>
      </c>
      <c r="L25" s="2"/>
      <c r="M25" s="2">
        <f t="shared" si="10"/>
        <v>2624617.4413094493</v>
      </c>
    </row>
    <row r="26" spans="1:13">
      <c r="C26"/>
      <c r="D26"/>
    </row>
    <row r="29" spans="1:13">
      <c r="E29" s="6" t="s">
        <v>6</v>
      </c>
      <c r="F29" s="6"/>
      <c r="G29" s="5"/>
      <c r="H29" s="6" t="s">
        <v>7</v>
      </c>
      <c r="I29" s="5"/>
    </row>
    <row r="30" spans="1:13" ht="68.099999999999994" customHeight="1">
      <c r="B30" s="3" t="s">
        <v>1</v>
      </c>
      <c r="C30" s="3" t="s">
        <v>16</v>
      </c>
      <c r="D30" s="3" t="s">
        <v>14</v>
      </c>
      <c r="E30" s="4" t="s">
        <v>10</v>
      </c>
      <c r="F30" s="4" t="s">
        <v>17</v>
      </c>
      <c r="G30" s="4" t="s">
        <v>18</v>
      </c>
      <c r="H30" s="4" t="s">
        <v>10</v>
      </c>
      <c r="I30" s="4" t="s">
        <v>17</v>
      </c>
      <c r="J30" s="4" t="s">
        <v>18</v>
      </c>
    </row>
    <row r="31" spans="1:13" ht="7.5" customHeight="1">
      <c r="B31" s="7"/>
      <c r="C31" s="7"/>
      <c r="D31" s="7"/>
      <c r="E31" s="7"/>
      <c r="F31" s="7"/>
      <c r="G31" s="7"/>
      <c r="H31" s="7"/>
      <c r="I31" s="7"/>
      <c r="J31" s="7"/>
    </row>
    <row r="32" spans="1:13">
      <c r="A32" s="1">
        <v>40725</v>
      </c>
      <c r="B32" s="2">
        <v>61067789.294022635</v>
      </c>
      <c r="C32" s="14">
        <v>-2538480.7149133333</v>
      </c>
      <c r="D32" s="14">
        <f>+B32+C32</f>
        <v>58529308.579109304</v>
      </c>
      <c r="E32" s="2">
        <f>+$D32*0.7*0.3</f>
        <v>12291154.801612953</v>
      </c>
      <c r="F32" s="2">
        <f>+E32+F31+G31</f>
        <v>12291154.801612953</v>
      </c>
      <c r="G32" s="2">
        <f>(F31*0.005)+(E32*0.005/2)</f>
        <v>30727.887004032382</v>
      </c>
      <c r="H32" s="2">
        <f>+$D32*0.73*0.5</f>
        <v>21363197.631374896</v>
      </c>
      <c r="I32" s="2">
        <f>+H32+I31+J31</f>
        <v>21363197.631374896</v>
      </c>
      <c r="J32" s="2">
        <f>(I31*0.005)+(H32*0.005/2)</f>
        <v>53407.994078437237</v>
      </c>
    </row>
    <row r="33" spans="1:10">
      <c r="A33" s="1">
        <v>40756</v>
      </c>
      <c r="B33" s="2">
        <v>66191900.559092447</v>
      </c>
      <c r="C33" s="15">
        <v>-2538480.7149133333</v>
      </c>
      <c r="D33" s="14">
        <f t="shared" ref="D33:D43" si="11">+B33+C33</f>
        <v>63653419.844179116</v>
      </c>
      <c r="E33" s="2">
        <f t="shared" ref="E33:E43" si="12">+$D33*0.7*0.3</f>
        <v>13367218.167277614</v>
      </c>
      <c r="F33" s="2">
        <f t="shared" ref="F33:F43" si="13">+E33+F32+G32</f>
        <v>25689100.855894599</v>
      </c>
      <c r="G33" s="2">
        <f>(F32*0.005)+(E33*0.005/2)</f>
        <v>94873.819426258793</v>
      </c>
      <c r="H33" s="2">
        <f t="shared" ref="H33:H43" si="14">+$D33*0.73*0.5</f>
        <v>23233498.243125375</v>
      </c>
      <c r="I33" s="2">
        <f t="shared" ref="I33:I43" si="15">+H33+I32+J32</f>
        <v>44650103.86857871</v>
      </c>
      <c r="J33" s="2">
        <f>(I32*0.005)+(H33*0.005/2)</f>
        <v>164899.7337646879</v>
      </c>
    </row>
    <row r="34" spans="1:10">
      <c r="A34" s="1">
        <v>40787</v>
      </c>
      <c r="B34" s="2">
        <v>53375488.64985086</v>
      </c>
      <c r="C34" s="15">
        <v>-2538480.7149133333</v>
      </c>
      <c r="D34" s="14">
        <f t="shared" si="11"/>
        <v>50837007.934937529</v>
      </c>
      <c r="E34" s="2">
        <f t="shared" si="12"/>
        <v>10675771.666336881</v>
      </c>
      <c r="F34" s="2">
        <f t="shared" si="13"/>
        <v>36459746.341657743</v>
      </c>
      <c r="G34" s="2">
        <f t="shared" ref="G34:G43" si="16">(F33*0.005)+(E34*0.005/2)</f>
        <v>155134.9334453152</v>
      </c>
      <c r="H34" s="2">
        <f t="shared" si="14"/>
        <v>18555507.896252196</v>
      </c>
      <c r="I34" s="2">
        <f t="shared" si="15"/>
        <v>63370511.498595588</v>
      </c>
      <c r="J34" s="2">
        <f t="shared" ref="J34:J43" si="17">(I33*0.005)+(H34*0.005/2)</f>
        <v>269639.28908352403</v>
      </c>
    </row>
    <row r="35" spans="1:10">
      <c r="A35" s="1">
        <v>40817</v>
      </c>
      <c r="B35" s="2">
        <v>47112268.26732669</v>
      </c>
      <c r="C35" s="15">
        <v>-2538480.7149133333</v>
      </c>
      <c r="D35" s="14">
        <f t="shared" si="11"/>
        <v>44573787.552413359</v>
      </c>
      <c r="E35" s="2">
        <f t="shared" si="12"/>
        <v>9360495.3860068042</v>
      </c>
      <c r="F35" s="2">
        <f t="shared" si="13"/>
        <v>45975376.661109857</v>
      </c>
      <c r="G35" s="2">
        <f t="shared" si="16"/>
        <v>205699.97017330572</v>
      </c>
      <c r="H35" s="2">
        <f t="shared" si="14"/>
        <v>16269432.456630876</v>
      </c>
      <c r="I35" s="2">
        <f t="shared" si="15"/>
        <v>79909583.244309992</v>
      </c>
      <c r="J35" s="2">
        <f t="shared" si="17"/>
        <v>357526.13863455516</v>
      </c>
    </row>
    <row r="36" spans="1:10">
      <c r="A36" s="1">
        <v>40848</v>
      </c>
      <c r="B36" s="2">
        <v>46392487.087703273</v>
      </c>
      <c r="C36" s="15">
        <v>-2538480.7149133333</v>
      </c>
      <c r="D36" s="14">
        <f t="shared" si="11"/>
        <v>43854006.372789942</v>
      </c>
      <c r="E36" s="2">
        <f t="shared" si="12"/>
        <v>9209341.3382858858</v>
      </c>
      <c r="F36" s="2">
        <f t="shared" si="13"/>
        <v>55390417.96956905</v>
      </c>
      <c r="G36" s="2">
        <f t="shared" si="16"/>
        <v>252900.23665126401</v>
      </c>
      <c r="H36" s="2">
        <f t="shared" si="14"/>
        <v>16006712.326068329</v>
      </c>
      <c r="I36" s="2">
        <f t="shared" si="15"/>
        <v>96273821.709012881</v>
      </c>
      <c r="J36" s="2">
        <f t="shared" si="17"/>
        <v>439564.69703672081</v>
      </c>
    </row>
    <row r="37" spans="1:10">
      <c r="A37" s="1">
        <v>40878</v>
      </c>
      <c r="B37" s="2">
        <v>49568599.556314558</v>
      </c>
      <c r="C37" s="15">
        <v>-2538480.7149133333</v>
      </c>
      <c r="D37" s="14">
        <f t="shared" si="11"/>
        <v>47030118.841401227</v>
      </c>
      <c r="E37" s="2">
        <f t="shared" si="12"/>
        <v>9876324.9566942565</v>
      </c>
      <c r="F37" s="2">
        <f t="shared" si="13"/>
        <v>65519643.162914567</v>
      </c>
      <c r="G37" s="2">
        <f t="shared" si="16"/>
        <v>301642.90223958087</v>
      </c>
      <c r="H37" s="2">
        <f t="shared" si="14"/>
        <v>17165993.377111446</v>
      </c>
      <c r="I37" s="2">
        <f t="shared" si="15"/>
        <v>113879379.78316104</v>
      </c>
      <c r="J37" s="2">
        <f t="shared" si="17"/>
        <v>524284.09198784304</v>
      </c>
    </row>
    <row r="38" spans="1:10">
      <c r="A38" s="1">
        <v>40909</v>
      </c>
      <c r="B38" s="2">
        <v>51632062.959980808</v>
      </c>
      <c r="C38" s="15">
        <v>-2538480.7149133333</v>
      </c>
      <c r="D38" s="14">
        <f t="shared" si="11"/>
        <v>49093582.245067477</v>
      </c>
      <c r="E38" s="2">
        <f t="shared" si="12"/>
        <v>10309652.271464169</v>
      </c>
      <c r="F38" s="2">
        <f t="shared" si="13"/>
        <v>76130938.336618319</v>
      </c>
      <c r="G38" s="2">
        <f t="shared" si="16"/>
        <v>353372.34649323323</v>
      </c>
      <c r="H38" s="2">
        <f t="shared" si="14"/>
        <v>17919157.519449629</v>
      </c>
      <c r="I38" s="2">
        <f t="shared" si="15"/>
        <v>132322821.39459851</v>
      </c>
      <c r="J38" s="2">
        <f t="shared" si="17"/>
        <v>614194.79271442932</v>
      </c>
    </row>
    <row r="39" spans="1:10">
      <c r="A39" s="1">
        <v>40940</v>
      </c>
      <c r="B39" s="2">
        <v>48052723.587454945</v>
      </c>
      <c r="C39" s="15">
        <v>-2538480.7149133333</v>
      </c>
      <c r="D39" s="14">
        <f t="shared" si="11"/>
        <v>45514242.872541614</v>
      </c>
      <c r="E39" s="2">
        <f t="shared" si="12"/>
        <v>9557991.0032337382</v>
      </c>
      <c r="F39" s="2">
        <f t="shared" si="13"/>
        <v>86042301.686345294</v>
      </c>
      <c r="G39" s="2">
        <f t="shared" si="16"/>
        <v>404549.66919117596</v>
      </c>
      <c r="H39" s="2">
        <f t="shared" si="14"/>
        <v>16612698.648477688</v>
      </c>
      <c r="I39" s="2">
        <f t="shared" si="15"/>
        <v>149549714.83579063</v>
      </c>
      <c r="J39" s="2">
        <f t="shared" si="17"/>
        <v>703145.85359418672</v>
      </c>
    </row>
    <row r="40" spans="1:10">
      <c r="A40" s="1">
        <v>40969</v>
      </c>
      <c r="B40" s="2">
        <v>49622715.488342658</v>
      </c>
      <c r="C40" s="15">
        <v>-2538480.7149133333</v>
      </c>
      <c r="D40" s="14">
        <f t="shared" si="11"/>
        <v>47084234.773429327</v>
      </c>
      <c r="E40" s="2">
        <f t="shared" si="12"/>
        <v>9887689.3024201579</v>
      </c>
      <c r="F40" s="2">
        <f t="shared" si="13"/>
        <v>96334540.65795663</v>
      </c>
      <c r="G40" s="2">
        <f t="shared" si="16"/>
        <v>454930.73168777686</v>
      </c>
      <c r="H40" s="2">
        <f t="shared" si="14"/>
        <v>17185745.692301705</v>
      </c>
      <c r="I40" s="2">
        <f t="shared" si="15"/>
        <v>167438606.38168651</v>
      </c>
      <c r="J40" s="2">
        <f t="shared" si="17"/>
        <v>790712.93840970751</v>
      </c>
    </row>
    <row r="41" spans="1:10">
      <c r="A41" s="1">
        <v>41000</v>
      </c>
      <c r="B41" s="2">
        <v>50321077.096093766</v>
      </c>
      <c r="C41" s="15">
        <v>-2538480.7149133333</v>
      </c>
      <c r="D41" s="14">
        <f t="shared" si="11"/>
        <v>47782596.381180435</v>
      </c>
      <c r="E41" s="2">
        <f t="shared" si="12"/>
        <v>10034345.240047891</v>
      </c>
      <c r="F41" s="2">
        <f t="shared" si="13"/>
        <v>106823816.6296923</v>
      </c>
      <c r="G41" s="2">
        <f t="shared" si="16"/>
        <v>506758.5663899029</v>
      </c>
      <c r="H41" s="2">
        <f t="shared" si="14"/>
        <v>17440647.67913086</v>
      </c>
      <c r="I41" s="2">
        <f t="shared" si="15"/>
        <v>185669966.99922708</v>
      </c>
      <c r="J41" s="2">
        <f t="shared" si="17"/>
        <v>880794.65110625979</v>
      </c>
    </row>
    <row r="42" spans="1:10">
      <c r="A42" s="1">
        <v>41030</v>
      </c>
      <c r="B42" s="2">
        <v>52745592.000905074</v>
      </c>
      <c r="C42" s="15">
        <v>-2538480.7149133333</v>
      </c>
      <c r="D42" s="14">
        <f t="shared" si="11"/>
        <v>50207111.285991743</v>
      </c>
      <c r="E42" s="2">
        <f t="shared" si="12"/>
        <v>10543493.370058266</v>
      </c>
      <c r="F42" s="2">
        <f t="shared" si="13"/>
        <v>117874068.56614047</v>
      </c>
      <c r="G42" s="2">
        <f t="shared" si="16"/>
        <v>560477.81657360715</v>
      </c>
      <c r="H42" s="2">
        <f t="shared" si="14"/>
        <v>18325595.619386986</v>
      </c>
      <c r="I42" s="2">
        <f t="shared" si="15"/>
        <v>204876357.26972035</v>
      </c>
      <c r="J42" s="2">
        <f t="shared" si="17"/>
        <v>974163.82404460292</v>
      </c>
    </row>
    <row r="43" spans="1:10">
      <c r="A43" s="1">
        <v>41061</v>
      </c>
      <c r="B43" s="2">
        <v>52989794.730187006</v>
      </c>
      <c r="C43" s="15">
        <v>-2538480.7149133333</v>
      </c>
      <c r="D43" s="14">
        <f t="shared" si="11"/>
        <v>50451314.015273675</v>
      </c>
      <c r="E43" s="2">
        <f t="shared" si="12"/>
        <v>10594775.943207471</v>
      </c>
      <c r="F43" s="2">
        <f t="shared" si="13"/>
        <v>129029322.32592155</v>
      </c>
      <c r="G43" s="2">
        <f t="shared" si="16"/>
        <v>615857.28268872108</v>
      </c>
      <c r="H43" s="2">
        <f t="shared" si="14"/>
        <v>18414729.615574893</v>
      </c>
      <c r="I43" s="2">
        <f t="shared" si="15"/>
        <v>224265250.70933986</v>
      </c>
      <c r="J43" s="2">
        <f t="shared" si="17"/>
        <v>1070418.610387539</v>
      </c>
    </row>
    <row r="44" spans="1:10" ht="7.5" customHeight="1">
      <c r="C44" s="7"/>
      <c r="D44" s="7"/>
      <c r="E44" s="7"/>
      <c r="F44" s="7"/>
      <c r="G44" s="7"/>
      <c r="H44" s="7"/>
      <c r="I44" s="7"/>
      <c r="J44" s="7"/>
    </row>
    <row r="45" spans="1:10">
      <c r="B45" s="2">
        <f>SUM(B32:B44)</f>
        <v>629072499.27727473</v>
      </c>
      <c r="C45" s="2">
        <f>SUM(C32:C44)</f>
        <v>-30461768.578960005</v>
      </c>
      <c r="D45" s="2">
        <f>SUM(D32:D44)</f>
        <v>598610730.69831479</v>
      </c>
      <c r="E45" s="2">
        <f>SUM(E32:E44)</f>
        <v>125708253.44664609</v>
      </c>
      <c r="F45" s="2"/>
      <c r="G45" s="2">
        <f>SUM(G32:G44)</f>
        <v>3936926.1619641744</v>
      </c>
      <c r="H45" s="2">
        <f>SUM(H32:H44)</f>
        <v>218492916.70488483</v>
      </c>
      <c r="I45" s="2"/>
      <c r="J45" s="2">
        <f>SUM(J32:J44)</f>
        <v>6842752.6148424931</v>
      </c>
    </row>
    <row r="46" spans="1:10">
      <c r="C46"/>
      <c r="D46"/>
    </row>
  </sheetData>
  <phoneticPr fontId="9" type="noConversion"/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opLeftCell="H1" workbookViewId="0">
      <selection activeCell="D32" sqref="D32"/>
    </sheetView>
  </sheetViews>
  <sheetFormatPr defaultRowHeight="12.75"/>
  <cols>
    <col min="1" max="1" width="15.6640625" customWidth="1"/>
    <col min="2" max="4" width="14.83203125" style="2" customWidth="1"/>
    <col min="5" max="13" width="13.33203125" customWidth="1"/>
  </cols>
  <sheetData>
    <row r="1" spans="1:12">
      <c r="D1"/>
    </row>
    <row r="2" spans="1:12">
      <c r="D2"/>
      <c r="L2" s="8" t="s">
        <v>55</v>
      </c>
    </row>
    <row r="3" spans="1:12">
      <c r="D3"/>
      <c r="L3" s="9" t="s">
        <v>9</v>
      </c>
    </row>
    <row r="4" spans="1:12">
      <c r="D4"/>
    </row>
    <row r="5" spans="1:12" ht="18.75">
      <c r="A5" s="12" t="s">
        <v>19</v>
      </c>
      <c r="B5" s="13"/>
      <c r="C5" s="13"/>
      <c r="D5" s="12"/>
      <c r="E5" s="12"/>
      <c r="F5" s="12"/>
      <c r="G5" s="12"/>
      <c r="H5" s="12"/>
      <c r="I5" s="12"/>
      <c r="J5" s="12"/>
      <c r="K5" s="12"/>
      <c r="L5" s="12"/>
    </row>
    <row r="6" spans="1:12" ht="18.75">
      <c r="A6" s="12" t="s">
        <v>20</v>
      </c>
      <c r="B6" s="13"/>
      <c r="C6" s="13"/>
      <c r="D6" s="12"/>
      <c r="E6" s="12"/>
      <c r="F6" s="12"/>
      <c r="G6" s="12"/>
      <c r="H6" s="12"/>
      <c r="I6" s="12"/>
      <c r="J6" s="12"/>
      <c r="K6" s="12"/>
      <c r="L6" s="12"/>
    </row>
    <row r="7" spans="1:12">
      <c r="D7"/>
    </row>
    <row r="8" spans="1:12">
      <c r="D8"/>
    </row>
    <row r="9" spans="1:12">
      <c r="C9" s="21" t="s">
        <v>22</v>
      </c>
      <c r="D9" s="6"/>
      <c r="E9" s="6"/>
      <c r="F9" s="6"/>
      <c r="G9" s="6"/>
      <c r="H9" s="6" t="s">
        <v>25</v>
      </c>
      <c r="I9" s="6"/>
      <c r="J9" s="6"/>
      <c r="K9" s="5"/>
      <c r="L9" s="5"/>
    </row>
    <row r="10" spans="1:12" ht="90" customHeight="1">
      <c r="B10" s="3" t="s">
        <v>21</v>
      </c>
      <c r="C10" s="3" t="s">
        <v>23</v>
      </c>
      <c r="D10" s="4" t="s">
        <v>10</v>
      </c>
      <c r="E10" s="4" t="s">
        <v>17</v>
      </c>
      <c r="F10" s="4" t="s">
        <v>18</v>
      </c>
      <c r="G10" s="4" t="s">
        <v>15</v>
      </c>
      <c r="H10" s="3" t="s">
        <v>24</v>
      </c>
      <c r="I10" s="4" t="s">
        <v>10</v>
      </c>
      <c r="J10" s="4" t="s">
        <v>17</v>
      </c>
      <c r="K10" s="4" t="s">
        <v>18</v>
      </c>
      <c r="L10" s="4" t="s">
        <v>15</v>
      </c>
    </row>
    <row r="11" spans="1:12" ht="7.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>
      <c r="A12" s="1">
        <v>40725</v>
      </c>
      <c r="B12" s="2">
        <f>+'Exh 1.2'!M12</f>
        <v>20485.258002688257</v>
      </c>
      <c r="C12" s="14">
        <f>+$C$25/12</f>
        <v>49884227.558192901</v>
      </c>
      <c r="D12" s="2">
        <f>+$C12*0.7*0.2</f>
        <v>6983791.8581470065</v>
      </c>
      <c r="E12" s="2">
        <f>+D12+E11+F11</f>
        <v>6983791.8581470065</v>
      </c>
      <c r="F12" s="2">
        <f>(E11*0.005)+(D12*0.005/2)</f>
        <v>17459.479645367515</v>
      </c>
      <c r="G12" s="2">
        <f>+F12-B12</f>
        <v>-3025.7783573207416</v>
      </c>
      <c r="H12" s="20">
        <v>0</v>
      </c>
      <c r="I12" s="2">
        <f>+$H12*0.7*0.2</f>
        <v>0</v>
      </c>
      <c r="J12" s="2">
        <f t="shared" ref="J12:J17" si="0">+I12+J11+K11</f>
        <v>0</v>
      </c>
      <c r="K12" s="2">
        <f>(J11*0.005)+(I12*0.005/2)</f>
        <v>0</v>
      </c>
      <c r="L12" s="2">
        <v>0</v>
      </c>
    </row>
    <row r="13" spans="1:12">
      <c r="A13" s="1">
        <v>40756</v>
      </c>
      <c r="B13" s="2">
        <f>+'Exh 1.2'!M13</f>
        <v>63249.212950839203</v>
      </c>
      <c r="C13" s="14">
        <f t="shared" ref="C13:C23" si="1">+$C$25/12</f>
        <v>49884227.558192901</v>
      </c>
      <c r="D13" s="2">
        <f t="shared" ref="D13:D23" si="2">+$C13*0.7*0.2</f>
        <v>6983791.8581470065</v>
      </c>
      <c r="E13" s="2">
        <f t="shared" ref="E13:E23" si="3">+D13+E12+F12</f>
        <v>13985043.195939381</v>
      </c>
      <c r="F13" s="2">
        <f>(E12*0.005)+(D13*0.005/2)</f>
        <v>52378.438936102546</v>
      </c>
      <c r="G13" s="2">
        <f t="shared" ref="G13:G23" si="4">+F13-B13</f>
        <v>-10870.774014736657</v>
      </c>
      <c r="H13" s="20">
        <v>0</v>
      </c>
      <c r="I13" s="2">
        <f t="shared" ref="I13:I23" si="5">+$H13*0.7*0.2</f>
        <v>0</v>
      </c>
      <c r="J13" s="2">
        <f t="shared" si="0"/>
        <v>0</v>
      </c>
      <c r="K13" s="2">
        <f>(J12*0.005)+(I13*0.005/2)</f>
        <v>0</v>
      </c>
      <c r="L13" s="2">
        <v>0</v>
      </c>
    </row>
    <row r="14" spans="1:12">
      <c r="A14" s="1">
        <v>40787</v>
      </c>
      <c r="B14" s="2">
        <f>+'Exh 1.2'!M14</f>
        <v>103423.28896354345</v>
      </c>
      <c r="C14" s="14">
        <f t="shared" si="1"/>
        <v>49884227.558192901</v>
      </c>
      <c r="D14" s="2">
        <f t="shared" si="2"/>
        <v>6983791.8581470065</v>
      </c>
      <c r="E14" s="2">
        <f t="shared" si="3"/>
        <v>21021213.49302249</v>
      </c>
      <c r="F14" s="2">
        <f t="shared" ref="F14:F23" si="6">(E13*0.005)+(D14*0.005/2)</f>
        <v>87384.695625064429</v>
      </c>
      <c r="G14" s="2">
        <f t="shared" si="4"/>
        <v>-16038.593338479026</v>
      </c>
      <c r="H14" s="20">
        <v>0</v>
      </c>
      <c r="I14" s="2">
        <f t="shared" si="5"/>
        <v>0</v>
      </c>
      <c r="J14" s="2">
        <f t="shared" si="0"/>
        <v>0</v>
      </c>
      <c r="K14" s="2">
        <f t="shared" ref="K14:K23" si="7">(J13*0.005)+(I14*0.005/2)</f>
        <v>0</v>
      </c>
      <c r="L14" s="2">
        <v>0</v>
      </c>
    </row>
    <row r="15" spans="1:12">
      <c r="A15" s="1">
        <v>40817</v>
      </c>
      <c r="B15" s="2">
        <f>+'Exh 1.2'!M15</f>
        <v>137133.3134488705</v>
      </c>
      <c r="C15" s="14">
        <f t="shared" si="1"/>
        <v>49884227.558192901</v>
      </c>
      <c r="D15" s="2">
        <f t="shared" si="2"/>
        <v>6983791.8581470065</v>
      </c>
      <c r="E15" s="2">
        <f t="shared" si="3"/>
        <v>28092390.04679456</v>
      </c>
      <c r="F15" s="2">
        <f t="shared" si="6"/>
        <v>122565.54711047997</v>
      </c>
      <c r="G15" s="2">
        <f t="shared" si="4"/>
        <v>-14567.766338390531</v>
      </c>
      <c r="H15" s="20">
        <v>0</v>
      </c>
      <c r="I15" s="2">
        <f t="shared" si="5"/>
        <v>0</v>
      </c>
      <c r="J15" s="2">
        <f t="shared" si="0"/>
        <v>0</v>
      </c>
      <c r="K15" s="2">
        <f t="shared" si="7"/>
        <v>0</v>
      </c>
      <c r="L15" s="2">
        <v>0</v>
      </c>
    </row>
    <row r="16" spans="1:12">
      <c r="A16" s="1">
        <v>40848</v>
      </c>
      <c r="B16" s="2">
        <f>+'Exh 1.2'!M16</f>
        <v>168600.15776750934</v>
      </c>
      <c r="C16" s="14">
        <f t="shared" si="1"/>
        <v>49884227.558192901</v>
      </c>
      <c r="D16" s="2">
        <f t="shared" si="2"/>
        <v>6983791.8581470065</v>
      </c>
      <c r="E16" s="2">
        <f t="shared" si="3"/>
        <v>35198747.452052049</v>
      </c>
      <c r="F16" s="2">
        <f t="shared" si="6"/>
        <v>157921.42987934031</v>
      </c>
      <c r="G16" s="2">
        <f t="shared" si="4"/>
        <v>-10678.727888169029</v>
      </c>
      <c r="H16" s="20">
        <v>0</v>
      </c>
      <c r="I16" s="2">
        <f t="shared" si="5"/>
        <v>0</v>
      </c>
      <c r="J16" s="2">
        <f t="shared" si="0"/>
        <v>0</v>
      </c>
      <c r="K16" s="2">
        <f t="shared" si="7"/>
        <v>0</v>
      </c>
      <c r="L16" s="2">
        <v>0</v>
      </c>
    </row>
    <row r="17" spans="1:12">
      <c r="A17" s="1">
        <v>40878</v>
      </c>
      <c r="B17" s="2">
        <f>+'Exh 1.2'!M17</f>
        <v>201095.26815972064</v>
      </c>
      <c r="C17" s="14">
        <f t="shared" si="1"/>
        <v>49884227.558192901</v>
      </c>
      <c r="D17" s="2">
        <f t="shared" si="2"/>
        <v>6983791.8581470065</v>
      </c>
      <c r="E17" s="2">
        <f t="shared" si="3"/>
        <v>42340460.74007839</v>
      </c>
      <c r="F17" s="2">
        <f t="shared" si="6"/>
        <v>193453.21690562775</v>
      </c>
      <c r="G17" s="2">
        <f t="shared" si="4"/>
        <v>-7642.0512540928903</v>
      </c>
      <c r="H17" s="20">
        <f>+H25</f>
        <v>598610730.69831479</v>
      </c>
      <c r="I17" s="2">
        <f t="shared" si="5"/>
        <v>83805502.297764063</v>
      </c>
      <c r="J17" s="2">
        <f t="shared" si="0"/>
        <v>83805502.297764063</v>
      </c>
      <c r="K17" s="2">
        <f>+J17*0.03</f>
        <v>2514165.0689329216</v>
      </c>
      <c r="L17" s="2">
        <f>+K17-B25</f>
        <v>-110452.37237652764</v>
      </c>
    </row>
    <row r="18" spans="1:12">
      <c r="A18" s="1">
        <v>40909</v>
      </c>
      <c r="B18" s="2">
        <f>+'Exh 1.2'!M18</f>
        <v>235581.56432882222</v>
      </c>
      <c r="C18" s="14">
        <f t="shared" si="1"/>
        <v>49884227.558192901</v>
      </c>
      <c r="D18" s="2">
        <f t="shared" si="2"/>
        <v>6983791.8581470065</v>
      </c>
      <c r="E18" s="2">
        <f t="shared" si="3"/>
        <v>49517705.815131031</v>
      </c>
      <c r="F18" s="2">
        <f t="shared" si="6"/>
        <v>229161.78334575947</v>
      </c>
      <c r="G18" s="2">
        <f t="shared" si="4"/>
        <v>-6419.7809830627521</v>
      </c>
      <c r="H18" s="20">
        <v>0</v>
      </c>
      <c r="I18" s="2">
        <f t="shared" si="5"/>
        <v>0</v>
      </c>
      <c r="J18" s="2">
        <f t="shared" ref="J18:J23" si="8">+I18</f>
        <v>0</v>
      </c>
      <c r="K18" s="2">
        <v>0</v>
      </c>
      <c r="L18" s="2">
        <v>0</v>
      </c>
    </row>
    <row r="19" spans="1:12">
      <c r="A19" s="1">
        <v>40940</v>
      </c>
      <c r="B19" s="2">
        <f>+'Exh 1.2'!M19</f>
        <v>269699.77946078399</v>
      </c>
      <c r="C19" s="14">
        <f t="shared" si="1"/>
        <v>49884227.558192901</v>
      </c>
      <c r="D19" s="2">
        <f t="shared" si="2"/>
        <v>6983791.8581470065</v>
      </c>
      <c r="E19" s="2">
        <f t="shared" si="3"/>
        <v>56730659.456623793</v>
      </c>
      <c r="F19" s="2">
        <f t="shared" si="6"/>
        <v>265048.00872102269</v>
      </c>
      <c r="G19" s="2">
        <f t="shared" si="4"/>
        <v>-4651.7707397612976</v>
      </c>
      <c r="H19" s="20">
        <v>0</v>
      </c>
      <c r="I19" s="2">
        <f t="shared" si="5"/>
        <v>0</v>
      </c>
      <c r="J19" s="2">
        <f t="shared" si="8"/>
        <v>0</v>
      </c>
      <c r="K19" s="2">
        <f t="shared" si="7"/>
        <v>0</v>
      </c>
      <c r="L19" s="2">
        <v>0</v>
      </c>
    </row>
    <row r="20" spans="1:12">
      <c r="A20" s="1">
        <v>40969</v>
      </c>
      <c r="B20" s="2">
        <f>+'Exh 1.2'!M20</f>
        <v>303287.15445851797</v>
      </c>
      <c r="C20" s="14">
        <f t="shared" si="1"/>
        <v>49884227.558192901</v>
      </c>
      <c r="D20" s="2">
        <f t="shared" si="2"/>
        <v>6983791.8581470065</v>
      </c>
      <c r="E20" s="2">
        <f t="shared" si="3"/>
        <v>63979499.323491827</v>
      </c>
      <c r="F20" s="2">
        <f t="shared" si="6"/>
        <v>301112.77692848654</v>
      </c>
      <c r="G20" s="2">
        <f t="shared" si="4"/>
        <v>-2174.3775300314301</v>
      </c>
      <c r="H20" s="20">
        <v>0</v>
      </c>
      <c r="I20" s="2">
        <f t="shared" si="5"/>
        <v>0</v>
      </c>
      <c r="J20" s="2">
        <f t="shared" si="8"/>
        <v>0</v>
      </c>
      <c r="K20" s="2">
        <f t="shared" si="7"/>
        <v>0</v>
      </c>
      <c r="L20" s="2">
        <v>0</v>
      </c>
    </row>
    <row r="21" spans="1:12">
      <c r="A21" s="1">
        <v>41000</v>
      </c>
      <c r="B21" s="2">
        <f>+'Exh 1.2'!M21</f>
        <v>337839.04425993527</v>
      </c>
      <c r="C21" s="14">
        <f t="shared" si="1"/>
        <v>49884227.558192901</v>
      </c>
      <c r="D21" s="2">
        <f t="shared" si="2"/>
        <v>6983791.8581470065</v>
      </c>
      <c r="E21" s="2">
        <f t="shared" si="3"/>
        <v>71264403.958567321</v>
      </c>
      <c r="F21" s="2">
        <f t="shared" si="6"/>
        <v>337356.97626282671</v>
      </c>
      <c r="G21" s="2">
        <f t="shared" si="4"/>
        <v>-482.06799710856285</v>
      </c>
      <c r="H21" s="20">
        <v>0</v>
      </c>
      <c r="I21" s="2">
        <f t="shared" si="5"/>
        <v>0</v>
      </c>
      <c r="J21" s="2">
        <f t="shared" si="8"/>
        <v>0</v>
      </c>
      <c r="K21" s="2">
        <f t="shared" si="7"/>
        <v>0</v>
      </c>
      <c r="L21" s="2">
        <v>0</v>
      </c>
    </row>
    <row r="22" spans="1:12">
      <c r="A22" s="1">
        <v>41030</v>
      </c>
      <c r="B22" s="2">
        <f>+'Exh 1.2'!M22</f>
        <v>373651.87771573814</v>
      </c>
      <c r="C22" s="14">
        <f t="shared" si="1"/>
        <v>49884227.558192901</v>
      </c>
      <c r="D22" s="2">
        <f t="shared" si="2"/>
        <v>6983791.8581470065</v>
      </c>
      <c r="E22" s="2">
        <f t="shared" si="3"/>
        <v>78585552.792977154</v>
      </c>
      <c r="F22" s="2">
        <f t="shared" si="6"/>
        <v>373781.49943820416</v>
      </c>
      <c r="G22" s="2">
        <f t="shared" si="4"/>
        <v>129.62172246602131</v>
      </c>
      <c r="H22" s="20">
        <v>0</v>
      </c>
      <c r="I22" s="2">
        <f t="shared" si="5"/>
        <v>0</v>
      </c>
      <c r="J22" s="2">
        <f t="shared" si="8"/>
        <v>0</v>
      </c>
      <c r="K22" s="2">
        <f t="shared" si="7"/>
        <v>0</v>
      </c>
      <c r="L22" s="2">
        <v>0</v>
      </c>
    </row>
    <row r="23" spans="1:12">
      <c r="A23" s="1">
        <v>41061</v>
      </c>
      <c r="B23" s="2">
        <f>+'Exh 1.2'!M23</f>
        <v>410571.52179248072</v>
      </c>
      <c r="C23" s="14">
        <f t="shared" si="1"/>
        <v>49884227.558192901</v>
      </c>
      <c r="D23" s="2">
        <f t="shared" si="2"/>
        <v>6983791.8581470065</v>
      </c>
      <c r="E23" s="2">
        <f t="shared" si="3"/>
        <v>85943126.150562376</v>
      </c>
      <c r="F23" s="2">
        <f t="shared" si="6"/>
        <v>410387.24361025332</v>
      </c>
      <c r="G23" s="2">
        <f t="shared" si="4"/>
        <v>-184.27818222739734</v>
      </c>
      <c r="H23" s="20">
        <v>0</v>
      </c>
      <c r="I23" s="2">
        <f t="shared" si="5"/>
        <v>0</v>
      </c>
      <c r="J23" s="2">
        <f t="shared" si="8"/>
        <v>0</v>
      </c>
      <c r="K23" s="2">
        <f t="shared" si="7"/>
        <v>0</v>
      </c>
      <c r="L23" s="2">
        <v>0</v>
      </c>
    </row>
    <row r="24" spans="1:12" ht="7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>
      <c r="B25" s="2">
        <f>SUM(B12:B24)</f>
        <v>2624617.4413094493</v>
      </c>
      <c r="C25" s="2">
        <f>+'Exh 1.2'!D25</f>
        <v>598610730.69831479</v>
      </c>
      <c r="D25" s="2">
        <f t="shared" ref="D25:L25" si="9">SUM(D12:D24)</f>
        <v>83805502.297764108</v>
      </c>
      <c r="E25" s="2"/>
      <c r="F25" s="2">
        <f t="shared" si="9"/>
        <v>2548011.0964085357</v>
      </c>
      <c r="G25" s="2">
        <f t="shared" si="9"/>
        <v>-76606.344900914293</v>
      </c>
      <c r="H25" s="2">
        <f>+C25</f>
        <v>598610730.69831479</v>
      </c>
      <c r="I25" s="2">
        <f t="shared" si="9"/>
        <v>83805502.297764063</v>
      </c>
      <c r="J25" s="2"/>
      <c r="K25" s="2">
        <f t="shared" si="9"/>
        <v>2514165.0689329216</v>
      </c>
      <c r="L25" s="2">
        <f t="shared" si="9"/>
        <v>-110452.37237652764</v>
      </c>
    </row>
    <row r="26" spans="1:12">
      <c r="C26"/>
      <c r="D26"/>
      <c r="G26" s="16">
        <f>+F25/B25-1</f>
        <v>-2.9187623192313272E-2</v>
      </c>
      <c r="L26" s="16">
        <f>+K25/B25-1</f>
        <v>-4.2083227306994431E-2</v>
      </c>
    </row>
    <row r="27" spans="1:12">
      <c r="D27"/>
    </row>
    <row r="28" spans="1:12">
      <c r="D28"/>
    </row>
    <row r="29" spans="1:12">
      <c r="B29" s="17"/>
      <c r="C29" s="21"/>
      <c r="D29" s="21" t="s">
        <v>26</v>
      </c>
      <c r="E29" s="21"/>
      <c r="F29" s="6"/>
      <c r="G29" s="6"/>
      <c r="H29" s="6"/>
      <c r="I29" s="6"/>
      <c r="J29" s="18"/>
      <c r="K29" s="18"/>
      <c r="L29" s="19"/>
    </row>
    <row r="30" spans="1:12" ht="102">
      <c r="B30" s="3" t="s">
        <v>21</v>
      </c>
      <c r="C30" s="3" t="s">
        <v>56</v>
      </c>
      <c r="D30" s="3" t="s">
        <v>64</v>
      </c>
      <c r="E30" s="3" t="s">
        <v>57</v>
      </c>
      <c r="F30" s="4" t="s">
        <v>10</v>
      </c>
      <c r="G30" s="4" t="s">
        <v>17</v>
      </c>
      <c r="H30" s="4" t="s">
        <v>18</v>
      </c>
      <c r="I30" s="4" t="s">
        <v>15</v>
      </c>
      <c r="J30" s="84"/>
      <c r="K30" s="84"/>
      <c r="L30" s="84"/>
    </row>
    <row r="31" spans="1:12">
      <c r="B31" s="7"/>
      <c r="C31" s="7"/>
      <c r="D31" s="7"/>
      <c r="E31" s="7"/>
      <c r="F31" s="7"/>
      <c r="G31" s="7"/>
      <c r="H31" s="7"/>
      <c r="I31" s="7"/>
      <c r="J31" s="85"/>
      <c r="K31" s="85"/>
      <c r="L31" s="85"/>
    </row>
    <row r="32" spans="1:12">
      <c r="A32" s="1">
        <v>40725</v>
      </c>
      <c r="B32" s="2">
        <f t="shared" ref="B32:B43" si="10">+B52</f>
        <v>20485.258002688257</v>
      </c>
      <c r="C32" s="14">
        <v>58529308.579109304</v>
      </c>
      <c r="D32" s="14">
        <f>+'Exh 1.4'!O17</f>
        <v>61211094.555455029</v>
      </c>
      <c r="E32" s="14">
        <f>+C32-D32</f>
        <v>-2681785.9763457254</v>
      </c>
      <c r="F32" s="2">
        <f t="shared" ref="F32:F43" si="11">+$D32*0.7*0.2</f>
        <v>8569553.2377637029</v>
      </c>
      <c r="G32" s="2">
        <f t="shared" ref="G32:G43" si="12">+F32+G31+H31</f>
        <v>8569553.2377637029</v>
      </c>
      <c r="H32" s="2">
        <f t="shared" ref="H32:H43" si="13">(G31*0.005)+(F32*0.005/2)</f>
        <v>21423.883094409259</v>
      </c>
      <c r="I32" s="2">
        <f>+H32-B32</f>
        <v>938.62509172100181</v>
      </c>
      <c r="J32" s="85"/>
      <c r="K32" s="85"/>
      <c r="L32" s="85"/>
    </row>
    <row r="33" spans="1:12">
      <c r="A33" s="1">
        <v>40756</v>
      </c>
      <c r="B33" s="2">
        <f t="shared" si="10"/>
        <v>63249.212950839203</v>
      </c>
      <c r="C33" s="14">
        <v>63653419.844179116</v>
      </c>
      <c r="D33" s="14">
        <f>+'Exh 1.4'!O18</f>
        <v>66757259.36735756</v>
      </c>
      <c r="E33" s="14">
        <f t="shared" ref="E33:E43" si="14">+C33-D33</f>
        <v>-3103839.5231784433</v>
      </c>
      <c r="F33" s="2">
        <f t="shared" si="11"/>
        <v>9346016.3114300575</v>
      </c>
      <c r="G33" s="2">
        <f t="shared" si="12"/>
        <v>17936993.43228817</v>
      </c>
      <c r="H33" s="2">
        <f t="shared" si="13"/>
        <v>66212.80696739367</v>
      </c>
      <c r="I33" s="2">
        <f t="shared" ref="I33:I43" si="15">+H33-B33</f>
        <v>2963.5940165544671</v>
      </c>
      <c r="J33" s="85"/>
      <c r="K33" s="85"/>
      <c r="L33" s="85"/>
    </row>
    <row r="34" spans="1:12">
      <c r="A34" s="1">
        <v>40787</v>
      </c>
      <c r="B34" s="2">
        <f t="shared" si="10"/>
        <v>103423.28896354345</v>
      </c>
      <c r="C34" s="14">
        <v>50837007.934937529</v>
      </c>
      <c r="D34" s="14">
        <f>+'Exh 1.4'!O19</f>
        <v>51545079.185585462</v>
      </c>
      <c r="E34" s="14">
        <f t="shared" si="14"/>
        <v>-708071.25064793229</v>
      </c>
      <c r="F34" s="2">
        <f t="shared" si="11"/>
        <v>7216311.0859819641</v>
      </c>
      <c r="G34" s="2">
        <f t="shared" si="12"/>
        <v>25219517.325237527</v>
      </c>
      <c r="H34" s="2">
        <f t="shared" si="13"/>
        <v>107725.74487639577</v>
      </c>
      <c r="I34" s="2">
        <f t="shared" si="15"/>
        <v>4302.4559128523106</v>
      </c>
      <c r="J34" s="85"/>
      <c r="K34" s="85"/>
      <c r="L34" s="85"/>
    </row>
    <row r="35" spans="1:12">
      <c r="A35" s="1">
        <v>40817</v>
      </c>
      <c r="B35" s="2">
        <f t="shared" si="10"/>
        <v>137133.3134488705</v>
      </c>
      <c r="C35" s="14">
        <v>44573787.552413359</v>
      </c>
      <c r="D35" s="14">
        <f>+'Exh 1.4'!O20</f>
        <v>44094083.091739096</v>
      </c>
      <c r="E35" s="14">
        <f t="shared" si="14"/>
        <v>479704.46067426354</v>
      </c>
      <c r="F35" s="2">
        <f t="shared" si="11"/>
        <v>6173171.632843473</v>
      </c>
      <c r="G35" s="2">
        <f t="shared" si="12"/>
        <v>31500414.702957395</v>
      </c>
      <c r="H35" s="2">
        <f t="shared" si="13"/>
        <v>141530.51570829633</v>
      </c>
      <c r="I35" s="2">
        <f t="shared" si="15"/>
        <v>4397.2022594258306</v>
      </c>
      <c r="J35" s="85"/>
      <c r="K35" s="85"/>
      <c r="L35" s="85"/>
    </row>
    <row r="36" spans="1:12">
      <c r="A36" s="1">
        <v>40848</v>
      </c>
      <c r="B36" s="2">
        <f t="shared" si="10"/>
        <v>168600.15776750934</v>
      </c>
      <c r="C36" s="14">
        <v>43854006.372789942</v>
      </c>
      <c r="D36" s="14">
        <f>+'Exh 1.4'!O21</f>
        <v>42745624.226358004</v>
      </c>
      <c r="E36" s="14">
        <f t="shared" si="14"/>
        <v>1108382.1464319378</v>
      </c>
      <c r="F36" s="2">
        <f t="shared" si="11"/>
        <v>5984387.3916901201</v>
      </c>
      <c r="G36" s="2">
        <f t="shared" si="12"/>
        <v>37626332.610355809</v>
      </c>
      <c r="H36" s="2">
        <f t="shared" si="13"/>
        <v>172463.04199401228</v>
      </c>
      <c r="I36" s="2">
        <f t="shared" si="15"/>
        <v>3862.884226502938</v>
      </c>
      <c r="J36" s="85"/>
      <c r="K36" s="85"/>
      <c r="L36" s="85"/>
    </row>
    <row r="37" spans="1:12">
      <c r="A37" s="1">
        <v>40878</v>
      </c>
      <c r="B37" s="2">
        <f t="shared" si="10"/>
        <v>201095.26815972064</v>
      </c>
      <c r="C37" s="14">
        <v>47030118.841401227</v>
      </c>
      <c r="D37" s="14">
        <f>+'Exh 1.4'!O22</f>
        <v>44592161.467565991</v>
      </c>
      <c r="E37" s="14">
        <f t="shared" si="14"/>
        <v>2437957.3738352358</v>
      </c>
      <c r="F37" s="2">
        <f t="shared" si="11"/>
        <v>6242902.6054592393</v>
      </c>
      <c r="G37" s="2">
        <f t="shared" si="12"/>
        <v>44041698.257809065</v>
      </c>
      <c r="H37" s="2">
        <f t="shared" si="13"/>
        <v>203738.91956542718</v>
      </c>
      <c r="I37" s="2">
        <f t="shared" si="15"/>
        <v>2643.651405706536</v>
      </c>
      <c r="J37" s="85"/>
      <c r="K37" s="85"/>
      <c r="L37" s="85"/>
    </row>
    <row r="38" spans="1:12">
      <c r="A38" s="1">
        <v>40909</v>
      </c>
      <c r="B38" s="2">
        <f t="shared" si="10"/>
        <v>235581.56432882222</v>
      </c>
      <c r="C38" s="14">
        <v>49093582.245067477</v>
      </c>
      <c r="D38" s="14">
        <f>+'Exh 1.4'!O23</f>
        <v>46987271.243133821</v>
      </c>
      <c r="E38" s="14">
        <f t="shared" si="14"/>
        <v>2106311.0019336566</v>
      </c>
      <c r="F38" s="2">
        <f t="shared" si="11"/>
        <v>6578217.974038735</v>
      </c>
      <c r="G38" s="2">
        <f t="shared" si="12"/>
        <v>50823655.151413225</v>
      </c>
      <c r="H38" s="2">
        <f t="shared" si="13"/>
        <v>236654.03622414218</v>
      </c>
      <c r="I38" s="2">
        <f t="shared" si="15"/>
        <v>1072.4718953199626</v>
      </c>
      <c r="J38" s="85"/>
      <c r="K38" s="85"/>
      <c r="L38" s="85"/>
    </row>
    <row r="39" spans="1:12">
      <c r="A39" s="1">
        <v>40940</v>
      </c>
      <c r="B39" s="2">
        <f t="shared" si="10"/>
        <v>269699.77946078399</v>
      </c>
      <c r="C39" s="14">
        <v>45514242.872541614</v>
      </c>
      <c r="D39" s="14">
        <f>+'Exh 1.4'!O24</f>
        <v>44088775.648002602</v>
      </c>
      <c r="E39" s="14">
        <f t="shared" si="14"/>
        <v>1425467.2245390117</v>
      </c>
      <c r="F39" s="2">
        <f t="shared" si="11"/>
        <v>6172428.5907203639</v>
      </c>
      <c r="G39" s="2">
        <f t="shared" si="12"/>
        <v>57232737.778357729</v>
      </c>
      <c r="H39" s="2">
        <f t="shared" si="13"/>
        <v>269549.34723386704</v>
      </c>
      <c r="I39" s="2">
        <f t="shared" si="15"/>
        <v>-150.43222691694973</v>
      </c>
      <c r="J39" s="85"/>
      <c r="K39" s="85"/>
      <c r="L39" s="85"/>
    </row>
    <row r="40" spans="1:12">
      <c r="A40" s="1">
        <v>40969</v>
      </c>
      <c r="B40" s="2">
        <f t="shared" si="10"/>
        <v>303287.15445851797</v>
      </c>
      <c r="C40" s="14">
        <v>47084234.773429327</v>
      </c>
      <c r="D40" s="14">
        <f>+'Exh 1.4'!O25</f>
        <v>46027452.57289166</v>
      </c>
      <c r="E40" s="14">
        <f t="shared" si="14"/>
        <v>1056782.2005376667</v>
      </c>
      <c r="F40" s="2">
        <f t="shared" si="11"/>
        <v>6443843.3602048326</v>
      </c>
      <c r="G40" s="2">
        <f t="shared" si="12"/>
        <v>63946130.485796429</v>
      </c>
      <c r="H40" s="2">
        <f t="shared" si="13"/>
        <v>302273.29729230073</v>
      </c>
      <c r="I40" s="2">
        <f t="shared" si="15"/>
        <v>-1013.8571662172326</v>
      </c>
      <c r="J40" s="85"/>
      <c r="K40" s="85"/>
      <c r="L40" s="85"/>
    </row>
    <row r="41" spans="1:12">
      <c r="A41" s="1">
        <v>41000</v>
      </c>
      <c r="B41" s="2">
        <f t="shared" si="10"/>
        <v>337839.04425993527</v>
      </c>
      <c r="C41" s="14">
        <v>47782596.381180435</v>
      </c>
      <c r="D41" s="14">
        <f>+'Exh 1.4'!O26</f>
        <v>47879270.970526934</v>
      </c>
      <c r="E41" s="14">
        <f t="shared" si="14"/>
        <v>-96674.589346498251</v>
      </c>
      <c r="F41" s="2">
        <f t="shared" si="11"/>
        <v>6703097.9358737702</v>
      </c>
      <c r="G41" s="2">
        <f t="shared" si="12"/>
        <v>70951501.718962505</v>
      </c>
      <c r="H41" s="2">
        <f t="shared" si="13"/>
        <v>336488.39726866654</v>
      </c>
      <c r="I41" s="2">
        <f t="shared" si="15"/>
        <v>-1350.6469912687317</v>
      </c>
      <c r="J41" s="85"/>
      <c r="K41" s="85"/>
      <c r="L41" s="85"/>
    </row>
    <row r="42" spans="1:12">
      <c r="A42" s="1">
        <v>41030</v>
      </c>
      <c r="B42" s="2">
        <f t="shared" si="10"/>
        <v>373651.87771573814</v>
      </c>
      <c r="C42" s="14">
        <v>50207111.285991743</v>
      </c>
      <c r="D42" s="14">
        <f>+'Exh 1.4'!O27</f>
        <v>50403748.369119123</v>
      </c>
      <c r="E42" s="14">
        <f t="shared" si="14"/>
        <v>-196637.08312737942</v>
      </c>
      <c r="F42" s="2">
        <f t="shared" si="11"/>
        <v>7056524.7716766763</v>
      </c>
      <c r="G42" s="2">
        <f t="shared" si="12"/>
        <v>78344514.887907848</v>
      </c>
      <c r="H42" s="2">
        <f t="shared" si="13"/>
        <v>372398.82052400423</v>
      </c>
      <c r="I42" s="2">
        <f t="shared" si="15"/>
        <v>-1253.0571917339112</v>
      </c>
      <c r="J42" s="85"/>
      <c r="K42" s="85"/>
      <c r="L42" s="85"/>
    </row>
    <row r="43" spans="1:12">
      <c r="A43" s="1">
        <v>41061</v>
      </c>
      <c r="B43" s="2">
        <f t="shared" si="10"/>
        <v>410571.52179248072</v>
      </c>
      <c r="C43" s="14">
        <v>50451314.015273675</v>
      </c>
      <c r="D43" s="14">
        <f>+'Exh 1.4'!O28</f>
        <v>52278910.000579454</v>
      </c>
      <c r="E43" s="14">
        <f t="shared" si="14"/>
        <v>-1827595.9853057787</v>
      </c>
      <c r="F43" s="2">
        <f t="shared" si="11"/>
        <v>7319047.4000811242</v>
      </c>
      <c r="G43" s="2">
        <f t="shared" si="12"/>
        <v>86035961.108512983</v>
      </c>
      <c r="H43" s="2">
        <f t="shared" si="13"/>
        <v>410020.19293974206</v>
      </c>
      <c r="I43" s="2">
        <f t="shared" si="15"/>
        <v>-551.32885273866123</v>
      </c>
      <c r="J43" s="85"/>
      <c r="K43" s="85"/>
      <c r="L43" s="85"/>
    </row>
    <row r="44" spans="1:12">
      <c r="B44" s="7"/>
      <c r="C44" s="7"/>
      <c r="D44" s="7"/>
      <c r="E44" s="7"/>
      <c r="F44" s="7"/>
      <c r="G44" s="7"/>
      <c r="H44" s="7"/>
      <c r="I44" s="7"/>
      <c r="J44" s="85"/>
      <c r="K44" s="85"/>
      <c r="L44" s="85"/>
    </row>
    <row r="45" spans="1:12">
      <c r="B45" s="2">
        <f>SUM(B32:B44)</f>
        <v>2624617.4413094493</v>
      </c>
      <c r="C45" s="22">
        <v>598610730.69831479</v>
      </c>
      <c r="D45" s="22">
        <f>SUM(D32:D44)</f>
        <v>598610730.69831479</v>
      </c>
      <c r="E45" s="22">
        <f>SUM(E32:E44)</f>
        <v>1.4901161193847656E-8</v>
      </c>
      <c r="F45" s="2">
        <f>SUM(F32:F44)</f>
        <v>83805502.297764063</v>
      </c>
      <c r="G45" s="2"/>
      <c r="H45" s="2">
        <f>SUM(H32:H44)</f>
        <v>2640479.0036886572</v>
      </c>
      <c r="I45" s="2">
        <f>SUM(I32:I44)</f>
        <v>15861.56237920756</v>
      </c>
      <c r="J45" s="85"/>
      <c r="K45" s="85"/>
      <c r="L45" s="85"/>
    </row>
    <row r="46" spans="1:12">
      <c r="E46" s="2"/>
      <c r="F46" s="2"/>
      <c r="I46" s="16">
        <f>+H43/B43-1</f>
        <v>-1.342832669766425E-3</v>
      </c>
      <c r="J46" s="24"/>
      <c r="K46" s="24"/>
      <c r="L46" s="24"/>
    </row>
    <row r="47" spans="1:12">
      <c r="E47" s="2"/>
      <c r="F47" s="2"/>
      <c r="J47" s="24"/>
      <c r="K47" s="24"/>
      <c r="L47" s="24"/>
    </row>
    <row r="48" spans="1:12">
      <c r="D48"/>
    </row>
    <row r="49" spans="1:19">
      <c r="C49" s="21" t="s">
        <v>58</v>
      </c>
      <c r="D49" s="6"/>
      <c r="E49" s="6"/>
      <c r="F49" s="6"/>
      <c r="G49" s="6"/>
      <c r="H49" s="6" t="s">
        <v>59</v>
      </c>
      <c r="I49" s="6"/>
      <c r="J49" s="6"/>
      <c r="K49" s="5"/>
      <c r="L49" s="5"/>
    </row>
    <row r="50" spans="1:19" ht="89.25">
      <c r="B50" s="3" t="s">
        <v>21</v>
      </c>
      <c r="C50" s="3" t="s">
        <v>28</v>
      </c>
      <c r="D50" s="4" t="s">
        <v>10</v>
      </c>
      <c r="E50" s="4" t="s">
        <v>17</v>
      </c>
      <c r="F50" s="4" t="s">
        <v>18</v>
      </c>
      <c r="G50" s="4" t="s">
        <v>15</v>
      </c>
      <c r="H50" s="3" t="s">
        <v>27</v>
      </c>
      <c r="I50" s="4" t="s">
        <v>10</v>
      </c>
      <c r="J50" s="4" t="s">
        <v>17</v>
      </c>
      <c r="K50" s="4" t="s">
        <v>18</v>
      </c>
      <c r="L50" s="4" t="s">
        <v>15</v>
      </c>
    </row>
    <row r="51" spans="1:19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9">
      <c r="A52" s="1">
        <v>40725</v>
      </c>
      <c r="B52" s="2">
        <f>+B12</f>
        <v>20485.258002688257</v>
      </c>
      <c r="C52" s="14">
        <f>+$C$25*S52</f>
        <v>92093958.568971515</v>
      </c>
      <c r="D52" s="2">
        <f>+$C52*0.7*0.2</f>
        <v>12893154.199656012</v>
      </c>
      <c r="E52" s="2">
        <f>+D52+E51+F51</f>
        <v>12893154.199656012</v>
      </c>
      <c r="F52" s="2">
        <f>(E51*0.005)+(D52*0.005/2)</f>
        <v>32232.885499140029</v>
      </c>
      <c r="G52" s="2">
        <f>+F52-B52</f>
        <v>11747.627496451772</v>
      </c>
      <c r="H52" s="20">
        <f>+$C$25*R52</f>
        <v>7674496.5474142917</v>
      </c>
      <c r="I52" s="2">
        <f>+$H52*0.7*0.2</f>
        <v>1074429.5166380007</v>
      </c>
      <c r="J52" s="2">
        <f>+I52+J51+K51</f>
        <v>1074429.5166380007</v>
      </c>
      <c r="K52" s="2">
        <f>(J51*0.005)+(I52*0.005/2)</f>
        <v>2686.0737915950017</v>
      </c>
      <c r="L52" s="2">
        <f>+K52-B52</f>
        <v>-17799.184211093256</v>
      </c>
      <c r="Q52">
        <v>1</v>
      </c>
      <c r="R52">
        <f t="shared" ref="R52:R63" si="16">+Q52/$Q$65</f>
        <v>1.282051282051282E-2</v>
      </c>
      <c r="S52">
        <v>0.15384615384615385</v>
      </c>
    </row>
    <row r="53" spans="1:19">
      <c r="A53" s="1">
        <v>40756</v>
      </c>
      <c r="B53" s="2">
        <f>+B13</f>
        <v>63249.212950839203</v>
      </c>
      <c r="C53" s="14">
        <f t="shared" ref="C53:C63" si="17">+$C$25*S53</f>
        <v>84419462.021557212</v>
      </c>
      <c r="D53" s="2">
        <f t="shared" ref="D53:D63" si="18">+$C53*0.7*0.2</f>
        <v>11818724.68301801</v>
      </c>
      <c r="E53" s="2">
        <f t="shared" ref="E53:E63" si="19">+D53+E52+F52</f>
        <v>24744111.768173162</v>
      </c>
      <c r="F53" s="2">
        <f>(E52*0.005)+(D53*0.005/2)</f>
        <v>94012.582705825087</v>
      </c>
      <c r="G53" s="2">
        <f t="shared" ref="G53:G63" si="20">+F53-B53</f>
        <v>30763.369754985884</v>
      </c>
      <c r="H53" s="20">
        <f t="shared" ref="H53:H63" si="21">+$C$25*R53</f>
        <v>15348993.094828583</v>
      </c>
      <c r="I53" s="2">
        <f t="shared" ref="I53:I63" si="22">+$H53*0.7*0.2</f>
        <v>2148859.0332760015</v>
      </c>
      <c r="J53" s="2">
        <f t="shared" ref="J53:J63" si="23">+I53+J52+K52</f>
        <v>3225974.6237055976</v>
      </c>
      <c r="K53" s="2">
        <f t="shared" ref="K53:K63" si="24">(J52*0.005)+(I53*0.005/2)</f>
        <v>10744.295166380007</v>
      </c>
      <c r="L53" s="2">
        <f t="shared" ref="L53:L63" si="25">+K53-B53</f>
        <v>-52504.917784459198</v>
      </c>
      <c r="Q53">
        <v>2</v>
      </c>
      <c r="R53">
        <f t="shared" si="16"/>
        <v>2.564102564102564E-2</v>
      </c>
      <c r="S53">
        <v>0.14102564102564102</v>
      </c>
    </row>
    <row r="54" spans="1:19">
      <c r="A54" s="1">
        <v>40787</v>
      </c>
      <c r="B54" s="2">
        <f>+B14</f>
        <v>103423.28896354345</v>
      </c>
      <c r="C54" s="14">
        <f t="shared" si="17"/>
        <v>76744965.474142909</v>
      </c>
      <c r="D54" s="2">
        <f t="shared" si="18"/>
        <v>10744295.166380007</v>
      </c>
      <c r="E54" s="2">
        <f t="shared" si="19"/>
        <v>35582419.517258994</v>
      </c>
      <c r="F54" s="2">
        <f t="shared" ref="F54:F63" si="26">(E53*0.005)+(D54*0.005/2)</f>
        <v>150581.29675681583</v>
      </c>
      <c r="G54" s="2">
        <f t="shared" si="20"/>
        <v>47158.00779327238</v>
      </c>
      <c r="H54" s="20">
        <f t="shared" si="21"/>
        <v>23023489.642242879</v>
      </c>
      <c r="I54" s="2">
        <f t="shared" si="22"/>
        <v>3223288.5499140029</v>
      </c>
      <c r="J54" s="2">
        <f t="shared" si="23"/>
        <v>6460007.4687859798</v>
      </c>
      <c r="K54" s="2">
        <f t="shared" si="24"/>
        <v>24188.094493312994</v>
      </c>
      <c r="L54" s="2">
        <f t="shared" si="25"/>
        <v>-79235.194470230461</v>
      </c>
      <c r="Q54">
        <v>3</v>
      </c>
      <c r="R54">
        <f t="shared" si="16"/>
        <v>3.8461538461538464E-2</v>
      </c>
      <c r="S54">
        <v>0.12820512820512819</v>
      </c>
    </row>
    <row r="55" spans="1:19">
      <c r="A55" s="1">
        <v>40817</v>
      </c>
      <c r="B55" s="2">
        <f t="shared" ref="B55:B63" si="27">+B15</f>
        <v>137133.3134488705</v>
      </c>
      <c r="C55" s="14">
        <f t="shared" si="17"/>
        <v>69070468.926728636</v>
      </c>
      <c r="D55" s="2">
        <f t="shared" si="18"/>
        <v>9669865.6497420091</v>
      </c>
      <c r="E55" s="2">
        <f>+D55+E54+F54</f>
        <v>45402866.46375782</v>
      </c>
      <c r="F55" s="2">
        <f>(E54*0.005)+(D55*0.005/2)</f>
        <v>202086.76171065</v>
      </c>
      <c r="G55" s="2">
        <f t="shared" si="20"/>
        <v>64953.4482617795</v>
      </c>
      <c r="H55" s="20">
        <f t="shared" si="21"/>
        <v>30697986.189657167</v>
      </c>
      <c r="I55" s="2">
        <f t="shared" si="22"/>
        <v>4297718.0665520029</v>
      </c>
      <c r="J55" s="2">
        <f>+I55+J54+K54</f>
        <v>10781913.629831295</v>
      </c>
      <c r="K55" s="2">
        <f>(J54*0.005)+(I55*0.005/2)</f>
        <v>43044.332510309905</v>
      </c>
      <c r="L55" s="2">
        <f t="shared" si="25"/>
        <v>-94088.980938560591</v>
      </c>
      <c r="Q55">
        <v>4</v>
      </c>
      <c r="R55">
        <f t="shared" si="16"/>
        <v>5.128205128205128E-2</v>
      </c>
      <c r="S55">
        <v>0.11538461538461539</v>
      </c>
    </row>
    <row r="56" spans="1:19">
      <c r="A56" s="1">
        <v>40848</v>
      </c>
      <c r="B56" s="2">
        <f t="shared" si="27"/>
        <v>168600.15776750934</v>
      </c>
      <c r="C56" s="14">
        <f t="shared" si="17"/>
        <v>61395972.379314333</v>
      </c>
      <c r="D56" s="2">
        <f t="shared" si="18"/>
        <v>8595436.1331040058</v>
      </c>
      <c r="E56" s="2">
        <f t="shared" si="19"/>
        <v>54200389.358572476</v>
      </c>
      <c r="F56" s="2">
        <f t="shared" si="26"/>
        <v>248502.9226515491</v>
      </c>
      <c r="G56" s="2">
        <f t="shared" si="20"/>
        <v>79902.76488403976</v>
      </c>
      <c r="H56" s="20">
        <f t="shared" si="21"/>
        <v>38372482.737071455</v>
      </c>
      <c r="I56" s="2">
        <f t="shared" si="22"/>
        <v>5372147.5831900034</v>
      </c>
      <c r="J56" s="2">
        <f t="shared" si="23"/>
        <v>16197105.545531608</v>
      </c>
      <c r="K56" s="2">
        <f t="shared" si="24"/>
        <v>67339.937107131482</v>
      </c>
      <c r="L56" s="2">
        <f t="shared" si="25"/>
        <v>-101260.22066037786</v>
      </c>
      <c r="Q56">
        <v>5</v>
      </c>
      <c r="R56">
        <f t="shared" si="16"/>
        <v>6.4102564102564097E-2</v>
      </c>
      <c r="S56">
        <v>0.10256410256410256</v>
      </c>
    </row>
    <row r="57" spans="1:19">
      <c r="A57" s="1">
        <v>40878</v>
      </c>
      <c r="B57" s="2">
        <f t="shared" si="27"/>
        <v>201095.26815972064</v>
      </c>
      <c r="C57" s="14">
        <f t="shared" si="17"/>
        <v>53721475.831900045</v>
      </c>
      <c r="D57" s="2">
        <f t="shared" si="18"/>
        <v>7521006.6164660053</v>
      </c>
      <c r="E57" s="2">
        <f t="shared" si="19"/>
        <v>61969898.897690035</v>
      </c>
      <c r="F57" s="2">
        <f t="shared" si="26"/>
        <v>289804.46333402739</v>
      </c>
      <c r="G57" s="2">
        <f t="shared" si="20"/>
        <v>88709.195174306748</v>
      </c>
      <c r="H57" s="20">
        <f t="shared" si="21"/>
        <v>46046979.284485757</v>
      </c>
      <c r="I57" s="2">
        <f t="shared" si="22"/>
        <v>6446577.0998280058</v>
      </c>
      <c r="J57" s="2">
        <f t="shared" si="23"/>
        <v>22711022.582466744</v>
      </c>
      <c r="K57" s="2">
        <f t="shared" si="24"/>
        <v>97101.970477228053</v>
      </c>
      <c r="L57" s="2">
        <f t="shared" si="25"/>
        <v>-103993.29768249259</v>
      </c>
      <c r="Q57">
        <v>6</v>
      </c>
      <c r="R57">
        <f t="shared" si="16"/>
        <v>7.6923076923076927E-2</v>
      </c>
      <c r="S57">
        <v>8.9743589743589744E-2</v>
      </c>
    </row>
    <row r="58" spans="1:19">
      <c r="A58" s="1">
        <v>40909</v>
      </c>
      <c r="B58" s="2">
        <f t="shared" si="27"/>
        <v>235581.56432882222</v>
      </c>
      <c r="C58" s="14">
        <f t="shared" si="17"/>
        <v>46046979.284485757</v>
      </c>
      <c r="D58" s="2">
        <f t="shared" si="18"/>
        <v>6446577.0998280058</v>
      </c>
      <c r="E58" s="2">
        <f t="shared" si="19"/>
        <v>68706280.460852072</v>
      </c>
      <c r="F58" s="2">
        <f t="shared" si="26"/>
        <v>325965.93723802018</v>
      </c>
      <c r="G58" s="2">
        <f t="shared" si="20"/>
        <v>90384.372909197962</v>
      </c>
      <c r="H58" s="20">
        <f t="shared" si="21"/>
        <v>53721475.831900045</v>
      </c>
      <c r="I58" s="2">
        <f t="shared" si="22"/>
        <v>7521006.6164660053</v>
      </c>
      <c r="J58" s="2">
        <f t="shared" si="23"/>
        <v>30329131.169409975</v>
      </c>
      <c r="K58" s="2">
        <f t="shared" si="24"/>
        <v>132357.62945349872</v>
      </c>
      <c r="L58" s="2">
        <f t="shared" si="25"/>
        <v>-103223.9348753235</v>
      </c>
      <c r="Q58">
        <v>7</v>
      </c>
      <c r="R58">
        <f t="shared" si="16"/>
        <v>8.9743589743589744E-2</v>
      </c>
      <c r="S58">
        <v>7.6923076923076927E-2</v>
      </c>
    </row>
    <row r="59" spans="1:19">
      <c r="A59" s="1">
        <v>40940</v>
      </c>
      <c r="B59" s="2">
        <f t="shared" si="27"/>
        <v>269699.77946078399</v>
      </c>
      <c r="C59" s="14">
        <f t="shared" si="17"/>
        <v>38372482.737071455</v>
      </c>
      <c r="D59" s="2">
        <f t="shared" si="18"/>
        <v>5372147.5831900034</v>
      </c>
      <c r="E59" s="2">
        <f t="shared" si="19"/>
        <v>74404393.981280103</v>
      </c>
      <c r="F59" s="2">
        <f t="shared" si="26"/>
        <v>356961.77126223536</v>
      </c>
      <c r="G59" s="2">
        <f t="shared" si="20"/>
        <v>87261.991801451368</v>
      </c>
      <c r="H59" s="20">
        <f t="shared" si="21"/>
        <v>61395972.379314333</v>
      </c>
      <c r="I59" s="2">
        <f t="shared" si="22"/>
        <v>8595436.1331040058</v>
      </c>
      <c r="J59" s="2">
        <f t="shared" si="23"/>
        <v>39056924.931967475</v>
      </c>
      <c r="K59" s="2">
        <f t="shared" si="24"/>
        <v>173134.24617980988</v>
      </c>
      <c r="L59" s="2">
        <f t="shared" si="25"/>
        <v>-96565.533280974108</v>
      </c>
      <c r="Q59">
        <v>8</v>
      </c>
      <c r="R59">
        <f t="shared" si="16"/>
        <v>0.10256410256410256</v>
      </c>
      <c r="S59">
        <v>6.4102564102564097E-2</v>
      </c>
    </row>
    <row r="60" spans="1:19">
      <c r="A60" s="1">
        <v>40969</v>
      </c>
      <c r="B60" s="2">
        <f t="shared" si="27"/>
        <v>303287.15445851797</v>
      </c>
      <c r="C60" s="14">
        <f t="shared" si="17"/>
        <v>30697986.189657167</v>
      </c>
      <c r="D60" s="2">
        <f t="shared" si="18"/>
        <v>4297718.0665520029</v>
      </c>
      <c r="E60" s="2">
        <f t="shared" si="19"/>
        <v>79059073.81909433</v>
      </c>
      <c r="F60" s="2">
        <f t="shared" si="26"/>
        <v>382766.26507278054</v>
      </c>
      <c r="G60" s="2">
        <f t="shared" si="20"/>
        <v>79479.110614262579</v>
      </c>
      <c r="H60" s="20">
        <f t="shared" si="21"/>
        <v>69070468.926728636</v>
      </c>
      <c r="I60" s="2">
        <f t="shared" si="22"/>
        <v>9669865.6497420091</v>
      </c>
      <c r="J60" s="2">
        <f t="shared" si="23"/>
        <v>48899924.827889293</v>
      </c>
      <c r="K60" s="2">
        <f t="shared" si="24"/>
        <v>219459.28878419238</v>
      </c>
      <c r="L60" s="2">
        <f t="shared" si="25"/>
        <v>-83827.865674325585</v>
      </c>
      <c r="Q60">
        <v>9</v>
      </c>
      <c r="R60">
        <f t="shared" si="16"/>
        <v>0.11538461538461539</v>
      </c>
      <c r="S60">
        <v>5.128205128205128E-2</v>
      </c>
    </row>
    <row r="61" spans="1:19">
      <c r="A61" s="1">
        <v>41000</v>
      </c>
      <c r="B61" s="2">
        <f t="shared" si="27"/>
        <v>337839.04425993527</v>
      </c>
      <c r="C61" s="14">
        <f t="shared" si="17"/>
        <v>23023489.642242879</v>
      </c>
      <c r="D61" s="2">
        <f t="shared" si="18"/>
        <v>3223288.5499140029</v>
      </c>
      <c r="E61" s="2">
        <f t="shared" si="19"/>
        <v>82665128.63408111</v>
      </c>
      <c r="F61" s="2">
        <f t="shared" si="26"/>
        <v>403353.59047025669</v>
      </c>
      <c r="G61" s="2">
        <f t="shared" si="20"/>
        <v>65514.546210321423</v>
      </c>
      <c r="H61" s="20">
        <f t="shared" si="21"/>
        <v>76744965.474142909</v>
      </c>
      <c r="I61" s="2">
        <f t="shared" si="22"/>
        <v>10744295.166380007</v>
      </c>
      <c r="J61" s="2">
        <f t="shared" si="23"/>
        <v>59863679.283053488</v>
      </c>
      <c r="K61" s="2">
        <f t="shared" si="24"/>
        <v>271360.36205539649</v>
      </c>
      <c r="L61" s="2">
        <f t="shared" si="25"/>
        <v>-66478.682204538782</v>
      </c>
      <c r="Q61">
        <v>10</v>
      </c>
      <c r="R61">
        <f t="shared" si="16"/>
        <v>0.12820512820512819</v>
      </c>
      <c r="S61">
        <v>3.8461538461538464E-2</v>
      </c>
    </row>
    <row r="62" spans="1:19">
      <c r="A62" s="1">
        <v>41030</v>
      </c>
      <c r="B62" s="2">
        <f t="shared" si="27"/>
        <v>373651.87771573814</v>
      </c>
      <c r="C62" s="14">
        <f t="shared" si="17"/>
        <v>15348993.094828583</v>
      </c>
      <c r="D62" s="2">
        <f t="shared" si="18"/>
        <v>2148859.0332760015</v>
      </c>
      <c r="E62" s="2">
        <f t="shared" si="19"/>
        <v>85217341.257827371</v>
      </c>
      <c r="F62" s="2">
        <f t="shared" si="26"/>
        <v>418697.79075359559</v>
      </c>
      <c r="G62" s="2">
        <f t="shared" si="20"/>
        <v>45045.913037857448</v>
      </c>
      <c r="H62" s="20">
        <f t="shared" si="21"/>
        <v>84419462.021557212</v>
      </c>
      <c r="I62" s="2">
        <f t="shared" si="22"/>
        <v>11818724.68301801</v>
      </c>
      <c r="J62" s="2">
        <f t="shared" si="23"/>
        <v>71953764.328126892</v>
      </c>
      <c r="K62" s="2">
        <f t="shared" si="24"/>
        <v>328865.20812281244</v>
      </c>
      <c r="L62" s="2">
        <f t="shared" si="25"/>
        <v>-44786.669592925697</v>
      </c>
      <c r="Q62">
        <v>11</v>
      </c>
      <c r="R62">
        <f t="shared" si="16"/>
        <v>0.14102564102564102</v>
      </c>
      <c r="S62">
        <v>2.564102564102564E-2</v>
      </c>
    </row>
    <row r="63" spans="1:19">
      <c r="A63" s="1">
        <v>41061</v>
      </c>
      <c r="B63" s="2">
        <f t="shared" si="27"/>
        <v>410571.52179248072</v>
      </c>
      <c r="C63" s="14">
        <f t="shared" si="17"/>
        <v>7674496.5474142917</v>
      </c>
      <c r="D63" s="2">
        <f t="shared" si="18"/>
        <v>1074429.5166380007</v>
      </c>
      <c r="E63" s="2">
        <f t="shared" si="19"/>
        <v>86710468.56521897</v>
      </c>
      <c r="F63" s="2">
        <f t="shared" si="26"/>
        <v>428772.78008073184</v>
      </c>
      <c r="G63" s="2">
        <f t="shared" si="20"/>
        <v>18201.25828825112</v>
      </c>
      <c r="H63" s="20">
        <f t="shared" si="21"/>
        <v>92093958.568971515</v>
      </c>
      <c r="I63" s="2">
        <f t="shared" si="22"/>
        <v>12893154.199656012</v>
      </c>
      <c r="J63" s="2">
        <f t="shared" si="23"/>
        <v>85175783.735905722</v>
      </c>
      <c r="K63" s="2">
        <f t="shared" si="24"/>
        <v>392001.70713977446</v>
      </c>
      <c r="L63" s="2">
        <f t="shared" si="25"/>
        <v>-18569.814652706264</v>
      </c>
      <c r="Q63">
        <v>12</v>
      </c>
      <c r="R63">
        <f t="shared" si="16"/>
        <v>0.15384615384615385</v>
      </c>
      <c r="S63">
        <v>1.282051282051282E-2</v>
      </c>
    </row>
    <row r="64" spans="1:19" ht="7.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2:17">
      <c r="B65" s="2">
        <f>SUM(B52:B64)</f>
        <v>2624617.4413094493</v>
      </c>
      <c r="C65" s="22">
        <f>SUM(C52:C64)</f>
        <v>598610730.69831479</v>
      </c>
      <c r="D65" s="2">
        <f>SUM(D52:D64)</f>
        <v>83805502.297764063</v>
      </c>
      <c r="E65" s="2"/>
      <c r="F65" s="2">
        <f>SUM(F52:F64)</f>
        <v>3333739.0475356281</v>
      </c>
      <c r="G65" s="2">
        <f>SUM(G52:G64)</f>
        <v>709121.606226178</v>
      </c>
      <c r="H65" s="2">
        <f>SUM(H52:H63)</f>
        <v>598610730.69831479</v>
      </c>
      <c r="I65" s="2">
        <f>SUM(I52:I64)</f>
        <v>83805502.297764063</v>
      </c>
      <c r="J65" s="2"/>
      <c r="K65" s="2">
        <f>SUM(K52:K64)</f>
        <v>1762283.145281442</v>
      </c>
      <c r="L65" s="2">
        <f>SUM(L52:L64)</f>
        <v>-862334.29602800787</v>
      </c>
      <c r="Q65">
        <f>SUM(Q52:Q64)</f>
        <v>78</v>
      </c>
    </row>
    <row r="66" spans="2:17">
      <c r="G66" s="16">
        <f>+F65/B65-1</f>
        <v>0.27018093954004607</v>
      </c>
      <c r="L66" s="16">
        <f>+K65/B65-1</f>
        <v>-0.32855618592467317</v>
      </c>
    </row>
    <row r="69" spans="2:17">
      <c r="M69" s="19"/>
    </row>
    <row r="70" spans="2:17">
      <c r="M70" s="84"/>
      <c r="N70" s="24"/>
      <c r="O70" s="24"/>
    </row>
    <row r="71" spans="2:17" ht="7.5" customHeight="1">
      <c r="M71" s="85"/>
      <c r="N71" s="24"/>
      <c r="O71" s="24"/>
    </row>
    <row r="72" spans="2:17">
      <c r="M72" s="85"/>
      <c r="N72" s="24"/>
      <c r="O72" s="24"/>
    </row>
    <row r="73" spans="2:17">
      <c r="M73" s="85"/>
      <c r="N73" s="24"/>
      <c r="O73" s="24"/>
    </row>
    <row r="74" spans="2:17">
      <c r="M74" s="85"/>
      <c r="N74" s="24"/>
      <c r="O74" s="24"/>
    </row>
    <row r="75" spans="2:17">
      <c r="M75" s="85"/>
      <c r="N75" s="24"/>
      <c r="O75" s="24"/>
    </row>
    <row r="76" spans="2:17">
      <c r="M76" s="85"/>
      <c r="N76" s="24"/>
      <c r="O76" s="24"/>
    </row>
    <row r="77" spans="2:17">
      <c r="M77" s="85"/>
      <c r="N77" s="24"/>
      <c r="O77" s="24"/>
    </row>
    <row r="78" spans="2:17">
      <c r="M78" s="85"/>
      <c r="N78" s="24"/>
      <c r="O78" s="24"/>
    </row>
    <row r="79" spans="2:17">
      <c r="M79" s="85"/>
      <c r="N79" s="24"/>
      <c r="O79" s="24"/>
    </row>
    <row r="80" spans="2:17">
      <c r="M80" s="85"/>
      <c r="N80" s="24"/>
      <c r="O80" s="24"/>
    </row>
    <row r="81" spans="5:15">
      <c r="M81" s="85"/>
      <c r="N81" s="24"/>
      <c r="O81" s="24"/>
    </row>
    <row r="82" spans="5:15">
      <c r="M82" s="85"/>
      <c r="N82" s="24"/>
      <c r="O82" s="24"/>
    </row>
    <row r="83" spans="5:15">
      <c r="M83" s="85"/>
      <c r="N83" s="24"/>
      <c r="O83" s="24"/>
    </row>
    <row r="84" spans="5:15" ht="7.5" customHeight="1">
      <c r="M84" s="85"/>
      <c r="N84" s="24"/>
      <c r="O84" s="24"/>
    </row>
    <row r="85" spans="5:15">
      <c r="M85" s="86"/>
      <c r="N85" s="24"/>
      <c r="O85" s="24"/>
    </row>
    <row r="86" spans="5:15">
      <c r="M86" s="24"/>
      <c r="N86" s="24"/>
      <c r="O86" s="24"/>
    </row>
    <row r="87" spans="5:15">
      <c r="M87" s="24"/>
      <c r="N87" s="24"/>
      <c r="O87" s="24"/>
    </row>
    <row r="88" spans="5:15">
      <c r="E88" s="2"/>
      <c r="I88" s="24"/>
      <c r="J88" s="24"/>
      <c r="K88" s="24"/>
      <c r="L88" s="24"/>
      <c r="M88" s="24"/>
      <c r="N88" s="24"/>
      <c r="O88" s="24"/>
    </row>
    <row r="89" spans="5:15">
      <c r="H89" s="24"/>
      <c r="I89" s="24"/>
      <c r="J89" s="24"/>
      <c r="K89" s="24"/>
      <c r="L89" s="24"/>
      <c r="M89" s="24"/>
      <c r="N89" s="24"/>
    </row>
    <row r="90" spans="5:15">
      <c r="H90" s="24"/>
      <c r="I90" s="24"/>
      <c r="J90" s="24"/>
      <c r="K90" s="24"/>
      <c r="L90" s="24"/>
      <c r="M90" s="24"/>
      <c r="N90" s="24"/>
    </row>
  </sheetData>
  <phoneticPr fontId="9" type="noConversion"/>
  <printOptions horizontalCentered="1"/>
  <pageMargins left="0.72" right="0.78" top="0.6" bottom="0.57999999999999996" header="0.3" footer="0.3"/>
  <pageSetup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7"/>
  <sheetViews>
    <sheetView workbookViewId="0">
      <selection activeCell="B13" sqref="B13"/>
    </sheetView>
  </sheetViews>
  <sheetFormatPr defaultRowHeight="12.75"/>
  <cols>
    <col min="1" max="1" width="12" style="40" customWidth="1"/>
    <col min="2" max="2" width="12.83203125" style="25" customWidth="1"/>
    <col min="3" max="5" width="12.83203125" style="25" hidden="1" customWidth="1"/>
    <col min="6" max="8" width="12.83203125" style="25" customWidth="1"/>
    <col min="9" max="9" width="12.83203125" style="26" customWidth="1"/>
    <col min="10" max="11" width="12.83203125" style="26" hidden="1" customWidth="1"/>
    <col min="12" max="15" width="12.83203125" style="26" customWidth="1"/>
    <col min="16" max="17" width="18.83203125" style="25" hidden="1" customWidth="1"/>
    <col min="18" max="19" width="18.83203125" style="25" customWidth="1"/>
    <col min="20" max="23" width="9.33203125" style="25"/>
  </cols>
  <sheetData>
    <row r="2" spans="1:17">
      <c r="O2" s="56" t="s">
        <v>54</v>
      </c>
    </row>
    <row r="3" spans="1:17">
      <c r="O3" s="57" t="s">
        <v>9</v>
      </c>
    </row>
    <row r="5" spans="1:17">
      <c r="B5" s="27"/>
      <c r="D5" s="28"/>
      <c r="F5" s="28"/>
      <c r="G5" s="28"/>
      <c r="H5" s="28"/>
      <c r="I5" s="58"/>
      <c r="L5" s="58"/>
      <c r="M5" s="59"/>
      <c r="O5" s="59"/>
      <c r="P5" s="28"/>
    </row>
    <row r="6" spans="1:17" ht="18.75">
      <c r="A6" s="12" t="s">
        <v>26</v>
      </c>
      <c r="B6" s="87"/>
      <c r="C6" s="37"/>
      <c r="D6" s="30"/>
      <c r="E6" s="37"/>
      <c r="F6" s="30"/>
      <c r="G6" s="30"/>
      <c r="H6" s="30"/>
      <c r="I6" s="88"/>
      <c r="J6" s="89"/>
      <c r="K6" s="89"/>
      <c r="L6" s="88"/>
      <c r="M6" s="88"/>
      <c r="N6" s="89"/>
      <c r="O6" s="88"/>
      <c r="P6" s="28"/>
    </row>
    <row r="7" spans="1:17" ht="18.75">
      <c r="A7" s="12" t="s">
        <v>51</v>
      </c>
      <c r="B7" s="87"/>
      <c r="C7" s="87"/>
      <c r="D7" s="30"/>
      <c r="E7" s="37"/>
      <c r="F7" s="30"/>
      <c r="G7" s="30"/>
      <c r="H7" s="30"/>
      <c r="I7" s="88"/>
      <c r="J7" s="89"/>
      <c r="K7" s="89"/>
      <c r="L7" s="88"/>
      <c r="M7" s="88"/>
      <c r="N7" s="89"/>
      <c r="O7" s="88"/>
      <c r="P7" s="28"/>
      <c r="Q7" s="29"/>
    </row>
    <row r="8" spans="1:17" ht="18.75">
      <c r="A8" s="12" t="s">
        <v>52</v>
      </c>
      <c r="B8" s="87"/>
      <c r="C8" s="37"/>
      <c r="D8" s="30"/>
      <c r="E8" s="37"/>
      <c r="F8" s="30"/>
      <c r="G8" s="30"/>
      <c r="H8" s="30"/>
      <c r="I8" s="88"/>
      <c r="J8" s="89"/>
      <c r="K8" s="89"/>
      <c r="L8" s="88"/>
      <c r="M8" s="88"/>
      <c r="N8" s="89"/>
      <c r="O8" s="88"/>
      <c r="P8" s="28"/>
    </row>
    <row r="9" spans="1:17">
      <c r="B9" s="27"/>
      <c r="D9" s="28"/>
      <c r="F9" s="28"/>
      <c r="G9" s="28"/>
      <c r="H9" s="28"/>
      <c r="I9" s="58"/>
      <c r="L9" s="58"/>
      <c r="M9" s="59"/>
      <c r="O9" s="59"/>
      <c r="P9" s="28"/>
    </row>
    <row r="10" spans="1:17" ht="12.75" customHeight="1">
      <c r="B10" s="27"/>
      <c r="C10" s="29"/>
      <c r="D10" s="28"/>
      <c r="F10" s="28"/>
      <c r="G10" s="28"/>
      <c r="H10" s="28"/>
      <c r="I10" s="59"/>
      <c r="L10" s="59"/>
      <c r="M10" s="59"/>
      <c r="O10" s="59"/>
      <c r="P10" s="28"/>
      <c r="Q10" s="29"/>
    </row>
    <row r="11" spans="1:17" ht="12.75" customHeight="1">
      <c r="B11" s="27"/>
      <c r="C11" s="29"/>
      <c r="D11" s="28"/>
      <c r="F11" s="28"/>
      <c r="G11" s="28"/>
      <c r="H11" s="28"/>
      <c r="I11" s="59"/>
      <c r="L11" s="59"/>
      <c r="M11" s="59"/>
      <c r="O11" s="59"/>
      <c r="P11" s="28"/>
      <c r="Q11" s="29"/>
    </row>
    <row r="12" spans="1:17" ht="18" customHeight="1">
      <c r="A12" s="53"/>
      <c r="B12" s="10"/>
      <c r="C12" s="10"/>
      <c r="D12" s="30"/>
      <c r="E12" s="10"/>
      <c r="F12" s="30"/>
      <c r="G12" s="30"/>
      <c r="H12" s="30"/>
      <c r="I12" s="11"/>
      <c r="K12" s="11"/>
      <c r="L12" s="11"/>
      <c r="M12" s="11"/>
      <c r="N12" s="11"/>
      <c r="O12" s="11"/>
      <c r="P12" s="10"/>
      <c r="Q12" s="10"/>
    </row>
    <row r="13" spans="1:17" ht="12.75" customHeight="1">
      <c r="D13" s="28"/>
      <c r="F13" s="28"/>
      <c r="G13" s="28"/>
      <c r="H13" s="28"/>
      <c r="P13" s="28"/>
    </row>
    <row r="14" spans="1:17" ht="12.75" customHeight="1">
      <c r="B14" s="51"/>
      <c r="C14" s="31"/>
      <c r="D14" s="32"/>
      <c r="F14" s="32"/>
      <c r="G14" s="32"/>
      <c r="H14" s="32"/>
      <c r="I14" s="60"/>
      <c r="L14" s="60"/>
      <c r="M14" s="61" t="s">
        <v>30</v>
      </c>
      <c r="N14" s="62"/>
      <c r="O14" s="63"/>
      <c r="P14" s="32"/>
      <c r="Q14" s="32"/>
    </row>
    <row r="15" spans="1:17" s="44" customFormat="1" ht="75.75" customHeight="1">
      <c r="A15" s="43"/>
      <c r="B15" s="54" t="s">
        <v>31</v>
      </c>
      <c r="C15" s="54" t="s">
        <v>32</v>
      </c>
      <c r="D15" s="54" t="s">
        <v>33</v>
      </c>
      <c r="E15" s="54" t="s">
        <v>34</v>
      </c>
      <c r="F15" s="54" t="s">
        <v>35</v>
      </c>
      <c r="G15" s="55" t="s">
        <v>60</v>
      </c>
      <c r="H15" s="55" t="s">
        <v>61</v>
      </c>
      <c r="I15" s="64" t="s">
        <v>36</v>
      </c>
      <c r="J15" s="65"/>
      <c r="K15" s="65"/>
      <c r="L15" s="64" t="s">
        <v>62</v>
      </c>
      <c r="M15" s="66" t="s">
        <v>29</v>
      </c>
      <c r="N15" s="66" t="s">
        <v>37</v>
      </c>
      <c r="O15" s="64" t="s">
        <v>53</v>
      </c>
      <c r="P15" s="54" t="s">
        <v>35</v>
      </c>
      <c r="Q15" s="54" t="s">
        <v>38</v>
      </c>
    </row>
    <row r="16" spans="1:17" ht="8.25" customHeight="1">
      <c r="G16" s="49"/>
      <c r="H16" s="49"/>
    </row>
    <row r="17" spans="1:17" ht="12.75" customHeight="1">
      <c r="A17" s="52">
        <v>40725</v>
      </c>
      <c r="B17" s="28">
        <v>5581297</v>
      </c>
      <c r="C17" s="33">
        <v>24.550681148416125</v>
      </c>
      <c r="D17" s="23">
        <v>1.0001400489293799</v>
      </c>
      <c r="E17" s="33">
        <f>+C17*D17</f>
        <v>24.554119445026508</v>
      </c>
      <c r="F17" s="28">
        <v>2487069</v>
      </c>
      <c r="G17" s="91">
        <f t="shared" ref="G17:G28" si="0">+F17/B17</f>
        <v>0.44560771447926889</v>
      </c>
      <c r="H17" s="91">
        <f t="shared" ref="H17:H28" si="1">+G17/$G$30</f>
        <v>1.0463551788339944</v>
      </c>
      <c r="I17" s="67">
        <f t="shared" ref="I17:I28" si="2">E17*F17</f>
        <v>61067789.294022635</v>
      </c>
      <c r="K17" s="68">
        <v>40725</v>
      </c>
      <c r="L17" s="67">
        <f>+I17*H17*$L$31</f>
        <v>63749575.27036836</v>
      </c>
      <c r="M17" s="67">
        <f>M30/12</f>
        <v>-5875056.833333333</v>
      </c>
      <c r="N17" s="67">
        <f>N30/12</f>
        <v>-2538480.7149133333</v>
      </c>
      <c r="O17" s="67">
        <f>N17+L17</f>
        <v>61211094.555455029</v>
      </c>
      <c r="P17" s="28">
        <v>2487069</v>
      </c>
      <c r="Q17" s="33">
        <f t="shared" ref="Q17:Q28" si="3">O17/P17</f>
        <v>24.611739584006326</v>
      </c>
    </row>
    <row r="18" spans="1:17" ht="12.75" customHeight="1">
      <c r="A18" s="52">
        <v>40756</v>
      </c>
      <c r="B18" s="28">
        <v>5456765</v>
      </c>
      <c r="C18" s="34">
        <v>27.140602971639233</v>
      </c>
      <c r="D18" s="23">
        <f>D17</f>
        <v>1.0001400489293799</v>
      </c>
      <c r="E18" s="33">
        <f t="shared" ref="E18:E28" si="4">+C18*D18</f>
        <v>27.144403984028134</v>
      </c>
      <c r="F18" s="28">
        <v>2438510</v>
      </c>
      <c r="G18" s="91">
        <f t="shared" si="0"/>
        <v>0.44687832442848463</v>
      </c>
      <c r="H18" s="91">
        <f t="shared" si="1"/>
        <v>1.0493387656468787</v>
      </c>
      <c r="I18" s="69">
        <f t="shared" si="2"/>
        <v>66191900.559092447</v>
      </c>
      <c r="K18" s="68">
        <v>40756</v>
      </c>
      <c r="L18" s="67">
        <f t="shared" ref="L18:L28" si="5">+I18*H18*$L$31</f>
        <v>69295740.08227089</v>
      </c>
      <c r="M18" s="26">
        <f>M17</f>
        <v>-5875056.833333333</v>
      </c>
      <c r="N18" s="26">
        <f>N17</f>
        <v>-2538480.7149133333</v>
      </c>
      <c r="O18" s="67">
        <f t="shared" ref="O18:O28" si="6">N18+L18</f>
        <v>66757259.36735756</v>
      </c>
      <c r="P18" s="28">
        <v>2438510</v>
      </c>
      <c r="Q18" s="34">
        <f t="shared" si="3"/>
        <v>27.376249991739858</v>
      </c>
    </row>
    <row r="19" spans="1:17" ht="12.75" customHeight="1">
      <c r="A19" s="52">
        <v>40787</v>
      </c>
      <c r="B19" s="28">
        <v>4811197</v>
      </c>
      <c r="C19" s="34">
        <v>25.645838086690045</v>
      </c>
      <c r="D19" s="23">
        <f t="shared" ref="D19:D28" si="7">D18</f>
        <v>1.0001400489293799</v>
      </c>
      <c r="E19" s="33">
        <f t="shared" si="4"/>
        <v>25.649429758857135</v>
      </c>
      <c r="F19" s="28">
        <v>2080962</v>
      </c>
      <c r="G19" s="91">
        <f t="shared" si="0"/>
        <v>0.43252479580445363</v>
      </c>
      <c r="H19" s="91">
        <f t="shared" si="1"/>
        <v>1.0156344815371485</v>
      </c>
      <c r="I19" s="69">
        <f t="shared" si="2"/>
        <v>53375488.64985086</v>
      </c>
      <c r="K19" s="68">
        <v>40787</v>
      </c>
      <c r="L19" s="67">
        <f t="shared" si="5"/>
        <v>54083559.900498793</v>
      </c>
      <c r="M19" s="26">
        <f t="shared" ref="M19:N28" si="8">M18</f>
        <v>-5875056.833333333</v>
      </c>
      <c r="N19" s="26">
        <f t="shared" si="8"/>
        <v>-2538480.7149133333</v>
      </c>
      <c r="O19" s="67">
        <f t="shared" si="6"/>
        <v>51545079.185585462</v>
      </c>
      <c r="P19" s="28">
        <v>2080962</v>
      </c>
      <c r="Q19" s="34">
        <f t="shared" si="3"/>
        <v>24.769832022682518</v>
      </c>
    </row>
    <row r="20" spans="1:17" ht="12.75" customHeight="1">
      <c r="A20" s="52">
        <v>40817</v>
      </c>
      <c r="B20" s="28">
        <v>4902608</v>
      </c>
      <c r="C20" s="34">
        <v>22.740664135006231</v>
      </c>
      <c r="D20" s="23">
        <f t="shared" si="7"/>
        <v>1.0001400489293799</v>
      </c>
      <c r="E20" s="33">
        <f t="shared" si="4"/>
        <v>22.743848940671725</v>
      </c>
      <c r="F20" s="28">
        <v>2071429</v>
      </c>
      <c r="G20" s="91">
        <f t="shared" si="0"/>
        <v>0.42251573040308343</v>
      </c>
      <c r="H20" s="91">
        <f t="shared" si="1"/>
        <v>0.99213166262780694</v>
      </c>
      <c r="I20" s="69">
        <f t="shared" si="2"/>
        <v>47112268.26732669</v>
      </c>
      <c r="K20" s="68">
        <v>40817</v>
      </c>
      <c r="L20" s="67">
        <f t="shared" si="5"/>
        <v>46632563.806652427</v>
      </c>
      <c r="M20" s="26">
        <f t="shared" si="8"/>
        <v>-5875056.833333333</v>
      </c>
      <c r="N20" s="26">
        <f t="shared" si="8"/>
        <v>-2538480.7149133333</v>
      </c>
      <c r="O20" s="67">
        <f t="shared" si="6"/>
        <v>44094083.091739096</v>
      </c>
      <c r="P20" s="28">
        <v>2071429</v>
      </c>
      <c r="Q20" s="34">
        <f t="shared" si="3"/>
        <v>21.286794329778669</v>
      </c>
    </row>
    <row r="21" spans="1:17" ht="12.75" customHeight="1">
      <c r="A21" s="52">
        <v>40848</v>
      </c>
      <c r="B21" s="28">
        <v>4972393</v>
      </c>
      <c r="C21" s="34">
        <v>22.389049403690482</v>
      </c>
      <c r="D21" s="23">
        <f t="shared" si="7"/>
        <v>1.0001400489293799</v>
      </c>
      <c r="E21" s="33">
        <f t="shared" si="4"/>
        <v>22.392184966089303</v>
      </c>
      <c r="F21" s="28">
        <v>2071816</v>
      </c>
      <c r="G21" s="91">
        <f t="shared" si="0"/>
        <v>0.41666376732490773</v>
      </c>
      <c r="H21" s="91">
        <f t="shared" si="1"/>
        <v>0.97839035682400144</v>
      </c>
      <c r="I21" s="69">
        <f t="shared" si="2"/>
        <v>46392487.087703273</v>
      </c>
      <c r="K21" s="68">
        <v>40848</v>
      </c>
      <c r="L21" s="67">
        <f t="shared" si="5"/>
        <v>45284104.941271335</v>
      </c>
      <c r="M21" s="26">
        <f t="shared" si="8"/>
        <v>-5875056.833333333</v>
      </c>
      <c r="N21" s="26">
        <f t="shared" si="8"/>
        <v>-2538480.7149133333</v>
      </c>
      <c r="O21" s="67">
        <f t="shared" si="6"/>
        <v>42745624.226358004</v>
      </c>
      <c r="P21" s="28">
        <v>2071816</v>
      </c>
      <c r="Q21" s="34">
        <f t="shared" si="3"/>
        <v>20.631959704123339</v>
      </c>
    </row>
    <row r="22" spans="1:17" ht="12.75" customHeight="1">
      <c r="A22" s="52">
        <v>40878</v>
      </c>
      <c r="B22" s="28">
        <v>5392624</v>
      </c>
      <c r="C22" s="34">
        <v>22.644429249767768</v>
      </c>
      <c r="D22" s="23">
        <f t="shared" si="7"/>
        <v>1.0001400489293799</v>
      </c>
      <c r="E22" s="33">
        <f t="shared" si="4"/>
        <v>22.647600577840617</v>
      </c>
      <c r="F22" s="28">
        <v>2188691</v>
      </c>
      <c r="G22" s="91">
        <f t="shared" si="0"/>
        <v>0.4058675331341477</v>
      </c>
      <c r="H22" s="91">
        <f t="shared" si="1"/>
        <v>0.95303914500620879</v>
      </c>
      <c r="I22" s="69">
        <f t="shared" si="2"/>
        <v>49568599.556314558</v>
      </c>
      <c r="K22" s="68">
        <v>40878</v>
      </c>
      <c r="L22" s="67">
        <f t="shared" si="5"/>
        <v>47130642.182479322</v>
      </c>
      <c r="M22" s="26">
        <f t="shared" si="8"/>
        <v>-5875056.833333333</v>
      </c>
      <c r="N22" s="26">
        <f t="shared" si="8"/>
        <v>-2538480.7149133333</v>
      </c>
      <c r="O22" s="67">
        <f t="shared" si="6"/>
        <v>44592161.467565991</v>
      </c>
      <c r="P22" s="28">
        <v>2188691</v>
      </c>
      <c r="Q22" s="34">
        <f t="shared" si="3"/>
        <v>20.373895386587687</v>
      </c>
    </row>
    <row r="23" spans="1:17" ht="12.75" customHeight="1">
      <c r="A23" s="52">
        <v>40909</v>
      </c>
      <c r="B23" s="28">
        <v>5409177</v>
      </c>
      <c r="C23" s="34">
        <v>23.309247991513242</v>
      </c>
      <c r="D23" s="23">
        <f t="shared" si="7"/>
        <v>1.0001400489293799</v>
      </c>
      <c r="E23" s="33">
        <f t="shared" si="4"/>
        <v>23.312512426739104</v>
      </c>
      <c r="F23" s="28">
        <v>2214779</v>
      </c>
      <c r="G23" s="91">
        <f t="shared" si="0"/>
        <v>0.40944842440911067</v>
      </c>
      <c r="H23" s="91">
        <f t="shared" si="1"/>
        <v>0.96144762629737657</v>
      </c>
      <c r="I23" s="69">
        <f t="shared" si="2"/>
        <v>51632062.959980808</v>
      </c>
      <c r="K23" s="68">
        <v>40909</v>
      </c>
      <c r="L23" s="67">
        <f t="shared" si="5"/>
        <v>49525751.958047152</v>
      </c>
      <c r="M23" s="26">
        <f t="shared" si="8"/>
        <v>-5875056.833333333</v>
      </c>
      <c r="N23" s="26">
        <f t="shared" si="8"/>
        <v>-2538480.7149133333</v>
      </c>
      <c r="O23" s="67">
        <f t="shared" si="6"/>
        <v>46987271.243133821</v>
      </c>
      <c r="P23" s="28">
        <v>2214779</v>
      </c>
      <c r="Q23" s="34">
        <f t="shared" si="3"/>
        <v>21.215331752348121</v>
      </c>
    </row>
    <row r="24" spans="1:17" ht="12.75" customHeight="1">
      <c r="A24" s="52">
        <v>40940</v>
      </c>
      <c r="B24" s="28">
        <v>4977523</v>
      </c>
      <c r="C24" s="34">
        <v>23.304213877917739</v>
      </c>
      <c r="D24" s="23">
        <f t="shared" si="7"/>
        <v>1.0001400489293799</v>
      </c>
      <c r="E24" s="33">
        <f t="shared" si="4"/>
        <v>23.307477608121381</v>
      </c>
      <c r="F24" s="28">
        <v>2061687</v>
      </c>
      <c r="G24" s="91">
        <f t="shared" si="0"/>
        <v>0.41419939194655653</v>
      </c>
      <c r="H24" s="91">
        <f t="shared" si="1"/>
        <v>0.97260362590364002</v>
      </c>
      <c r="I24" s="69">
        <f t="shared" si="2"/>
        <v>48052723.587454945</v>
      </c>
      <c r="K24" s="68">
        <v>40940</v>
      </c>
      <c r="L24" s="67">
        <f t="shared" si="5"/>
        <v>46627256.362915933</v>
      </c>
      <c r="M24" s="26">
        <f t="shared" si="8"/>
        <v>-5875056.833333333</v>
      </c>
      <c r="N24" s="26">
        <f t="shared" si="8"/>
        <v>-2538480.7149133333</v>
      </c>
      <c r="O24" s="67">
        <f t="shared" si="6"/>
        <v>44088775.648002602</v>
      </c>
      <c r="P24" s="28">
        <v>2061687</v>
      </c>
      <c r="Q24" s="34">
        <f t="shared" si="3"/>
        <v>21.384805573301186</v>
      </c>
    </row>
    <row r="25" spans="1:17" ht="12.75" customHeight="1">
      <c r="A25" s="52">
        <v>40969</v>
      </c>
      <c r="B25" s="28">
        <v>5150143</v>
      </c>
      <c r="C25" s="34">
        <v>23.06012217670175</v>
      </c>
      <c r="D25" s="23">
        <f t="shared" si="7"/>
        <v>1.0001400489293799</v>
      </c>
      <c r="E25" s="33">
        <f t="shared" si="4"/>
        <v>23.063351722123969</v>
      </c>
      <c r="F25" s="28">
        <v>2151583</v>
      </c>
      <c r="G25" s="91">
        <f t="shared" si="0"/>
        <v>0.4177715065387505</v>
      </c>
      <c r="H25" s="91">
        <f t="shared" si="1"/>
        <v>0.98099149819911513</v>
      </c>
      <c r="I25" s="69">
        <f t="shared" si="2"/>
        <v>49622715.488342658</v>
      </c>
      <c r="K25" s="68">
        <v>40969</v>
      </c>
      <c r="L25" s="67">
        <f t="shared" si="5"/>
        <v>48565933.287804991</v>
      </c>
      <c r="M25" s="26">
        <f t="shared" si="8"/>
        <v>-5875056.833333333</v>
      </c>
      <c r="N25" s="26">
        <f t="shared" si="8"/>
        <v>-2538480.7149133333</v>
      </c>
      <c r="O25" s="67">
        <f t="shared" si="6"/>
        <v>46027452.57289166</v>
      </c>
      <c r="P25" s="28">
        <v>2151583</v>
      </c>
      <c r="Q25" s="34">
        <f t="shared" si="3"/>
        <v>21.392366723891971</v>
      </c>
    </row>
    <row r="26" spans="1:17" ht="12.75" customHeight="1">
      <c r="A26" s="52">
        <v>41000</v>
      </c>
      <c r="B26" s="28">
        <v>4834714</v>
      </c>
      <c r="C26" s="34">
        <v>24.333084913276814</v>
      </c>
      <c r="D26" s="23">
        <f t="shared" si="7"/>
        <v>1.0001400489293799</v>
      </c>
      <c r="E26" s="33">
        <f t="shared" si="4"/>
        <v>24.336492735767429</v>
      </c>
      <c r="F26" s="28">
        <v>2067721</v>
      </c>
      <c r="G26" s="91">
        <f t="shared" si="0"/>
        <v>0.42768217520209056</v>
      </c>
      <c r="H26" s="91">
        <f t="shared" si="1"/>
        <v>1.0042632664935935</v>
      </c>
      <c r="I26" s="69">
        <f t="shared" si="2"/>
        <v>50321077.096093766</v>
      </c>
      <c r="K26" s="68">
        <v>41000</v>
      </c>
      <c r="L26" s="67">
        <f t="shared" si="5"/>
        <v>50417751.685440265</v>
      </c>
      <c r="M26" s="26">
        <f t="shared" si="8"/>
        <v>-5875056.833333333</v>
      </c>
      <c r="N26" s="26">
        <f t="shared" si="8"/>
        <v>-2538480.7149133333</v>
      </c>
      <c r="O26" s="67">
        <f t="shared" si="6"/>
        <v>47879270.970526934</v>
      </c>
      <c r="P26" s="28">
        <v>2067721</v>
      </c>
      <c r="Q26" s="34">
        <f t="shared" si="3"/>
        <v>23.155576100705527</v>
      </c>
    </row>
    <row r="27" spans="1:17" ht="12.75" customHeight="1">
      <c r="A27" s="52">
        <v>41030</v>
      </c>
      <c r="B27" s="28">
        <v>5006224</v>
      </c>
      <c r="C27" s="34">
        <v>24.587332790476225</v>
      </c>
      <c r="D27" s="23">
        <f t="shared" si="7"/>
        <v>1.0001400489293799</v>
      </c>
      <c r="E27" s="33">
        <f t="shared" si="4"/>
        <v>24.590776220109838</v>
      </c>
      <c r="F27" s="28">
        <v>2144934</v>
      </c>
      <c r="G27" s="91">
        <f t="shared" si="0"/>
        <v>0.42845346113158339</v>
      </c>
      <c r="H27" s="91">
        <f t="shared" si="1"/>
        <v>1.0060743640138188</v>
      </c>
      <c r="I27" s="69">
        <f t="shared" si="2"/>
        <v>52745592.000905074</v>
      </c>
      <c r="K27" s="68">
        <v>41030</v>
      </c>
      <c r="L27" s="67">
        <f t="shared" si="5"/>
        <v>52942229.084032454</v>
      </c>
      <c r="M27" s="26">
        <f t="shared" si="8"/>
        <v>-5875056.833333333</v>
      </c>
      <c r="N27" s="26">
        <f t="shared" si="8"/>
        <v>-2538480.7149133333</v>
      </c>
      <c r="O27" s="67">
        <f t="shared" si="6"/>
        <v>50403748.369119123</v>
      </c>
      <c r="P27" s="28">
        <v>2144934</v>
      </c>
      <c r="Q27" s="34">
        <f t="shared" si="3"/>
        <v>23.498974033289194</v>
      </c>
    </row>
    <row r="28" spans="1:17" ht="12.75" customHeight="1">
      <c r="A28" s="52">
        <v>41061</v>
      </c>
      <c r="B28" s="28">
        <v>5090370</v>
      </c>
      <c r="C28" s="34">
        <v>23.570475412419242</v>
      </c>
      <c r="D28" s="23">
        <f t="shared" si="7"/>
        <v>1.0001400489293799</v>
      </c>
      <c r="E28" s="33">
        <f t="shared" si="4"/>
        <v>23.573776432265728</v>
      </c>
      <c r="F28" s="28">
        <v>2247828</v>
      </c>
      <c r="G28" s="91">
        <f t="shared" si="0"/>
        <v>0.44158440349129829</v>
      </c>
      <c r="H28" s="91">
        <f t="shared" si="1"/>
        <v>1.0369078282798365</v>
      </c>
      <c r="I28" s="69">
        <f t="shared" si="2"/>
        <v>52989794.730187006</v>
      </c>
      <c r="K28" s="68">
        <v>41061</v>
      </c>
      <c r="L28" s="67">
        <f t="shared" si="5"/>
        <v>54817390.715492785</v>
      </c>
      <c r="M28" s="26">
        <f t="shared" si="8"/>
        <v>-5875056.833333333</v>
      </c>
      <c r="N28" s="26">
        <f t="shared" si="8"/>
        <v>-2538480.7149133333</v>
      </c>
      <c r="O28" s="67">
        <f t="shared" si="6"/>
        <v>52278910.000579454</v>
      </c>
      <c r="P28" s="28">
        <v>2247828</v>
      </c>
      <c r="Q28" s="34">
        <f t="shared" si="3"/>
        <v>23.257522372966015</v>
      </c>
    </row>
    <row r="29" spans="1:17" ht="7.5" customHeight="1">
      <c r="C29" s="35"/>
      <c r="E29" s="35"/>
      <c r="G29" s="90"/>
    </row>
    <row r="30" spans="1:17" s="46" customFormat="1" ht="12.75" customHeight="1" thickBot="1">
      <c r="A30" s="45" t="s">
        <v>39</v>
      </c>
      <c r="B30" s="50">
        <f>SUM(B17:B29)</f>
        <v>61585035</v>
      </c>
      <c r="C30" s="48">
        <v>23.950623718895347</v>
      </c>
      <c r="E30" s="48">
        <f>I30/F30</f>
        <v>23.985674434979405</v>
      </c>
      <c r="F30" s="50">
        <f>SUM(F17:F29)</f>
        <v>26227009</v>
      </c>
      <c r="G30" s="92">
        <f>+F30/B30</f>
        <v>0.42586659242785202</v>
      </c>
      <c r="H30" s="50"/>
      <c r="I30" s="70">
        <f>SUM(I17:I29)</f>
        <v>629072499.27727473</v>
      </c>
      <c r="J30" s="26"/>
      <c r="K30" s="71" t="s">
        <v>39</v>
      </c>
      <c r="L30" s="70">
        <f>SUM(L17:L29)</f>
        <v>629072499.27727461</v>
      </c>
      <c r="M30" s="70">
        <v>-70500682</v>
      </c>
      <c r="N30" s="70">
        <f>O36*O37+O39*O40</f>
        <v>-30461768.578960001</v>
      </c>
      <c r="O30" s="70">
        <f>SUM(O17:O29)</f>
        <v>598610730.69831479</v>
      </c>
      <c r="P30" s="47">
        <f>SUM(P17:P29)</f>
        <v>26227009</v>
      </c>
      <c r="Q30" s="48">
        <f>O30/P30</f>
        <v>22.824208841287042</v>
      </c>
    </row>
    <row r="31" spans="1:17" ht="40.5" customHeight="1" thickTop="1">
      <c r="A31" s="41"/>
      <c r="B31" s="38"/>
      <c r="C31" s="39"/>
      <c r="H31" s="44" t="s">
        <v>63</v>
      </c>
      <c r="I31" s="83"/>
      <c r="J31" s="83">
        <v>0.99743319629904359</v>
      </c>
      <c r="K31" s="83">
        <v>0.99743319629904359</v>
      </c>
      <c r="L31" s="83">
        <v>0.99766783117312163</v>
      </c>
    </row>
    <row r="32" spans="1:17" ht="12.75" customHeight="1">
      <c r="B32" s="36"/>
      <c r="C32" s="36"/>
      <c r="E32" s="34"/>
      <c r="F32" s="28"/>
      <c r="G32" s="28"/>
      <c r="H32" s="28"/>
      <c r="I32" s="69"/>
    </row>
    <row r="33" spans="1:15" ht="12.75" customHeight="1">
      <c r="C33" s="27"/>
    </row>
    <row r="34" spans="1:15" ht="12.75" hidden="1" customHeight="1">
      <c r="A34" s="40" t="s">
        <v>40</v>
      </c>
      <c r="C34" s="27"/>
      <c r="M34" s="26" t="s">
        <v>41</v>
      </c>
    </row>
    <row r="35" spans="1:15" ht="12.75" hidden="1" customHeight="1">
      <c r="A35" s="42" t="s">
        <v>42</v>
      </c>
      <c r="C35" s="27"/>
      <c r="M35" s="72" t="s">
        <v>43</v>
      </c>
      <c r="N35" s="73"/>
      <c r="O35" s="74"/>
    </row>
    <row r="36" spans="1:15" ht="12.75" hidden="1" customHeight="1">
      <c r="A36" s="42" t="s">
        <v>44</v>
      </c>
      <c r="C36" s="27"/>
      <c r="M36" s="75"/>
      <c r="N36" s="76" t="s">
        <v>45</v>
      </c>
      <c r="O36" s="77">
        <f>M30-O39</f>
        <v>-62789546</v>
      </c>
    </row>
    <row r="37" spans="1:15" ht="12.75" hidden="1" customHeight="1">
      <c r="A37" s="42" t="s">
        <v>46</v>
      </c>
      <c r="C37" s="27"/>
      <c r="M37" s="75"/>
      <c r="N37" s="76" t="s">
        <v>47</v>
      </c>
      <c r="O37" s="78">
        <f>43.284%</f>
        <v>0.43284</v>
      </c>
    </row>
    <row r="38" spans="1:15" ht="12.75" hidden="1" customHeight="1">
      <c r="A38" s="42" t="s">
        <v>48</v>
      </c>
      <c r="C38" s="27"/>
      <c r="M38" s="75"/>
      <c r="N38" s="63"/>
      <c r="O38" s="79"/>
    </row>
    <row r="39" spans="1:15" ht="12.75" hidden="1" customHeight="1">
      <c r="A39" s="42"/>
      <c r="C39" s="27"/>
      <c r="M39" s="75"/>
      <c r="N39" s="76" t="s">
        <v>49</v>
      </c>
      <c r="O39" s="77">
        <v>-7711136</v>
      </c>
    </row>
    <row r="40" spans="1:15" ht="12.75" hidden="1" customHeight="1">
      <c r="C40" s="27"/>
      <c r="M40" s="80"/>
      <c r="N40" s="81" t="s">
        <v>50</v>
      </c>
      <c r="O40" s="82">
        <v>0.42587000000000003</v>
      </c>
    </row>
    <row r="41" spans="1:15" ht="12.75" hidden="1" customHeight="1">
      <c r="C41" s="27"/>
    </row>
    <row r="42" spans="1:15" ht="12.75" hidden="1" customHeight="1"/>
    <row r="43" spans="1:15" ht="12.75" hidden="1" customHeight="1"/>
    <row r="44" spans="1:15" ht="12.75" hidden="1" customHeight="1"/>
    <row r="45" spans="1:15" ht="12.75" hidden="1" customHeight="1"/>
    <row r="46" spans="1:15" ht="12.75" hidden="1" customHeight="1"/>
    <row r="47" spans="1:15" ht="12.7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phoneticPr fontId="9" type="noConversion"/>
  <pageMargins left="0.7" right="0.7" top="0.75" bottom="0.75" header="0.3" footer="0.3"/>
  <pageSetup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 1.1</vt:lpstr>
      <vt:lpstr>Exh 1.2</vt:lpstr>
      <vt:lpstr>Exh 1.3</vt:lpstr>
      <vt:lpstr>Exh 1.4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Chpeters</dc:creator>
  <cp:lastModifiedBy> </cp:lastModifiedBy>
  <cp:lastPrinted>2012-02-17T20:35:09Z</cp:lastPrinted>
  <dcterms:created xsi:type="dcterms:W3CDTF">2012-02-17T15:28:19Z</dcterms:created>
  <dcterms:modified xsi:type="dcterms:W3CDTF">2012-02-24T18:07:08Z</dcterms:modified>
</cp:coreProperties>
</file>