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autoCompressPictures="0"/>
  <bookViews>
    <workbookView xWindow="120" yWindow="120" windowWidth="24255" windowHeight="15720"/>
  </bookViews>
  <sheets>
    <sheet name="UAE Exhibit KCH-1, p. 1" sheetId="1" r:id="rId1"/>
    <sheet name="UAE Exhibit KCH-1, p. 2" sheetId="2" r:id="rId2"/>
  </sheets>
  <calcPr calcId="1257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C14" i="1"/>
  <c r="C13"/>
  <c r="C12"/>
  <c r="C11"/>
  <c r="C10"/>
  <c r="Q48" i="2"/>
  <c r="C15" i="1"/>
  <c r="D25" i="2"/>
  <c r="D19"/>
  <c r="D13"/>
  <c r="D37"/>
  <c r="D40"/>
  <c r="D39"/>
  <c r="D45"/>
  <c r="E25"/>
  <c r="E19"/>
  <c r="E13"/>
  <c r="E37"/>
  <c r="E40"/>
  <c r="E39"/>
  <c r="E45"/>
  <c r="F25"/>
  <c r="F19"/>
  <c r="F13"/>
  <c r="F37"/>
  <c r="F40"/>
  <c r="F39"/>
  <c r="F45"/>
  <c r="G25"/>
  <c r="G19"/>
  <c r="G13"/>
  <c r="G37"/>
  <c r="G40"/>
  <c r="G39"/>
  <c r="G45"/>
  <c r="H25"/>
  <c r="H19"/>
  <c r="H13"/>
  <c r="H37"/>
  <c r="H40"/>
  <c r="H39"/>
  <c r="H45"/>
  <c r="I25"/>
  <c r="I19"/>
  <c r="I13"/>
  <c r="I37"/>
  <c r="I40"/>
  <c r="I39"/>
  <c r="I45"/>
  <c r="J25"/>
  <c r="J19"/>
  <c r="J13"/>
  <c r="J37"/>
  <c r="J40"/>
  <c r="J39"/>
  <c r="J45"/>
  <c r="K25"/>
  <c r="K19"/>
  <c r="K13"/>
  <c r="K37"/>
  <c r="K40"/>
  <c r="K39"/>
  <c r="K45"/>
  <c r="L25"/>
  <c r="L19"/>
  <c r="L13"/>
  <c r="L37"/>
  <c r="L40"/>
  <c r="L39"/>
  <c r="L45"/>
  <c r="M25"/>
  <c r="M19"/>
  <c r="M13"/>
  <c r="M37"/>
  <c r="M40"/>
  <c r="M39"/>
  <c r="M45"/>
  <c r="N25"/>
  <c r="N19"/>
  <c r="N13"/>
  <c r="N37"/>
  <c r="N40"/>
  <c r="N39"/>
  <c r="N45"/>
  <c r="O25"/>
  <c r="O19"/>
  <c r="O13"/>
  <c r="O37"/>
  <c r="O40"/>
  <c r="O39"/>
  <c r="O45"/>
  <c r="P25"/>
  <c r="P19"/>
  <c r="P13"/>
  <c r="P37"/>
  <c r="P40"/>
  <c r="P39"/>
  <c r="P45"/>
  <c r="Q45"/>
  <c r="D15" i="1"/>
  <c r="E15"/>
  <c r="F15"/>
  <c r="D10"/>
  <c r="F10"/>
  <c r="G10"/>
  <c r="D12"/>
  <c r="E12"/>
  <c r="D14"/>
  <c r="E14"/>
  <c r="D13"/>
  <c r="E13"/>
  <c r="D11"/>
  <c r="E11"/>
  <c r="E10"/>
  <c r="F11"/>
  <c r="G11"/>
  <c r="F13"/>
  <c r="G13"/>
  <c r="F14"/>
  <c r="G14"/>
  <c r="F12"/>
  <c r="G12"/>
  <c r="N50" i="2"/>
  <c r="J50"/>
  <c r="F50"/>
  <c r="Q42"/>
  <c r="P43"/>
  <c r="M43"/>
  <c r="L43"/>
  <c r="I43"/>
  <c r="H43"/>
  <c r="E43"/>
  <c r="D43"/>
  <c r="N43"/>
  <c r="Q41"/>
  <c r="Q39"/>
  <c r="Q34"/>
  <c r="P35"/>
  <c r="N35"/>
  <c r="M35"/>
  <c r="L35"/>
  <c r="J35"/>
  <c r="I35"/>
  <c r="H35"/>
  <c r="F35"/>
  <c r="E35"/>
  <c r="D35"/>
  <c r="O35"/>
  <c r="Q32"/>
  <c r="P33"/>
  <c r="M33"/>
  <c r="L33"/>
  <c r="I33"/>
  <c r="H33"/>
  <c r="E33"/>
  <c r="D33"/>
  <c r="N33"/>
  <c r="Q30"/>
  <c r="K31"/>
  <c r="P31"/>
  <c r="Q28"/>
  <c r="N29"/>
  <c r="J29"/>
  <c r="F29"/>
  <c r="O29"/>
  <c r="Q26"/>
  <c r="P27"/>
  <c r="N27"/>
  <c r="M27"/>
  <c r="L27"/>
  <c r="J27"/>
  <c r="I27"/>
  <c r="H27"/>
  <c r="F27"/>
  <c r="E27"/>
  <c r="D27"/>
  <c r="O27"/>
  <c r="Q22"/>
  <c r="N23"/>
  <c r="J23"/>
  <c r="F23"/>
  <c r="O23"/>
  <c r="Q20"/>
  <c r="P21"/>
  <c r="N21"/>
  <c r="M21"/>
  <c r="L21"/>
  <c r="J21"/>
  <c r="I21"/>
  <c r="H21"/>
  <c r="F21"/>
  <c r="E21"/>
  <c r="D21"/>
  <c r="O21"/>
  <c r="Q19"/>
  <c r="Q16"/>
  <c r="N17"/>
  <c r="J17"/>
  <c r="F17"/>
  <c r="O17"/>
  <c r="Q14"/>
  <c r="P15"/>
  <c r="N15"/>
  <c r="M15"/>
  <c r="L15"/>
  <c r="J15"/>
  <c r="I15"/>
  <c r="H15"/>
  <c r="F15"/>
  <c r="E15"/>
  <c r="D15"/>
  <c r="O15"/>
  <c r="Q13"/>
  <c r="C11"/>
  <c r="Q10"/>
  <c r="O11"/>
  <c r="Q37"/>
  <c r="H50"/>
  <c r="L50"/>
  <c r="P50"/>
  <c r="K50"/>
  <c r="G50"/>
  <c r="O50"/>
  <c r="E50"/>
  <c r="I50"/>
  <c r="M50"/>
  <c r="G15"/>
  <c r="K15"/>
  <c r="Q15"/>
  <c r="F11"/>
  <c r="N11"/>
  <c r="G31"/>
  <c r="O31"/>
  <c r="E11"/>
  <c r="I11"/>
  <c r="M11"/>
  <c r="E17"/>
  <c r="I17"/>
  <c r="M17"/>
  <c r="E23"/>
  <c r="I23"/>
  <c r="M23"/>
  <c r="E29"/>
  <c r="I29"/>
  <c r="M29"/>
  <c r="F31"/>
  <c r="J31"/>
  <c r="N31"/>
  <c r="G33"/>
  <c r="F33"/>
  <c r="J33"/>
  <c r="K33"/>
  <c r="O33"/>
  <c r="Q33"/>
  <c r="G43"/>
  <c r="K43"/>
  <c r="O43"/>
  <c r="D11"/>
  <c r="H11"/>
  <c r="L11"/>
  <c r="P11"/>
  <c r="D17"/>
  <c r="H17"/>
  <c r="L17"/>
  <c r="P17"/>
  <c r="G21"/>
  <c r="K21"/>
  <c r="Q21"/>
  <c r="D23"/>
  <c r="H23"/>
  <c r="L23"/>
  <c r="P23"/>
  <c r="G27"/>
  <c r="K27"/>
  <c r="Q27"/>
  <c r="D29"/>
  <c r="H29"/>
  <c r="L29"/>
  <c r="P29"/>
  <c r="E31"/>
  <c r="I31"/>
  <c r="M31"/>
  <c r="G35"/>
  <c r="K35"/>
  <c r="Q35"/>
  <c r="F43"/>
  <c r="J43"/>
  <c r="Q43"/>
  <c r="J11"/>
  <c r="G11"/>
  <c r="K11"/>
  <c r="G17"/>
  <c r="K17"/>
  <c r="G23"/>
  <c r="K23"/>
  <c r="Q25"/>
  <c r="G29"/>
  <c r="K29"/>
  <c r="D31"/>
  <c r="H31"/>
  <c r="L31"/>
  <c r="D50"/>
  <c r="Q29"/>
  <c r="Q17"/>
  <c r="Q31"/>
  <c r="Q23"/>
  <c r="Q11"/>
  <c r="Q46"/>
  <c r="Q50"/>
  <c r="L46"/>
  <c r="K46"/>
  <c r="O46"/>
  <c r="I46"/>
  <c r="N46"/>
  <c r="J46"/>
  <c r="P46"/>
  <c r="G46"/>
  <c r="M46"/>
  <c r="F46"/>
  <c r="E46"/>
  <c r="H46"/>
  <c r="D46"/>
  <c r="D51"/>
  <c r="J51"/>
  <c r="N51"/>
  <c r="F51"/>
  <c r="G51"/>
  <c r="K51"/>
  <c r="I51"/>
  <c r="O51"/>
  <c r="E51"/>
  <c r="H51"/>
  <c r="P51"/>
  <c r="M51"/>
  <c r="L51"/>
</calcChain>
</file>

<file path=xl/sharedStrings.xml><?xml version="1.0" encoding="utf-8"?>
<sst xmlns="http://schemas.openxmlformats.org/spreadsheetml/2006/main" count="126" uniqueCount="103">
  <si>
    <t>1.  Inter-Jurisdictional Source:  RMP Direct Filing Exhibit RMP ___ (SRM-3) [UT JAM June 2012 GRC_Final] (Docket No. 10-035-124)</t>
  </si>
  <si>
    <t>2.  Class COS Source:  RMP Direct Filing Exhibit ____ (CCP-3) [COS UT June 2012] (Docket No. 10-035-124)</t>
  </si>
  <si>
    <t>Note:  OCS Exhibit 1.1 appears to include additional revenues for FERC account 456 beyond the wheeling revenues ordered for inclusion in the EBA.  The amounts shown above in FERC account 456 include only wheeling revenues.</t>
  </si>
  <si>
    <t>Net Power Cost per MWh @ Input by Major Utah Rate Class</t>
  </si>
  <si>
    <t>GRC</t>
  </si>
  <si>
    <t>"Composite"</t>
  </si>
  <si>
    <t>NPC</t>
  </si>
  <si>
    <t>Pct</t>
  </si>
  <si>
    <t>Energy</t>
  </si>
  <si>
    <t>Unit</t>
  </si>
  <si>
    <t>Difference</t>
  </si>
  <si>
    <t>@ Input</t>
  </si>
  <si>
    <t>Cost</t>
  </si>
  <si>
    <t>Share</t>
  </si>
  <si>
    <t>from</t>
  </si>
  <si>
    <t>Rate Class</t>
  </si>
  <si>
    <t>Schedule</t>
  </si>
  <si>
    <r>
      <t>(MWh)</t>
    </r>
    <r>
      <rPr>
        <u/>
        <vertAlign val="superscript"/>
        <sz val="10"/>
        <color indexed="8"/>
        <rFont val="Times New Roman"/>
        <family val="1"/>
      </rPr>
      <t>1</t>
    </r>
  </si>
  <si>
    <r>
      <t>Allocation</t>
    </r>
    <r>
      <rPr>
        <u/>
        <vertAlign val="superscript"/>
        <sz val="10"/>
        <color indexed="8"/>
        <rFont val="Times New Roman"/>
        <family val="1"/>
      </rPr>
      <t>1</t>
    </r>
  </si>
  <si>
    <t>(% of NPC)</t>
  </si>
  <si>
    <t>($/MWh)</t>
  </si>
  <si>
    <t>Total</t>
  </si>
  <si>
    <t>Residential</t>
  </si>
  <si>
    <t>1,2,3</t>
  </si>
  <si>
    <t>Small Commercial</t>
  </si>
  <si>
    <t>Large Commercial</t>
  </si>
  <si>
    <t>6,6A,6B</t>
  </si>
  <si>
    <t>General Service (&gt; 1 MW)</t>
  </si>
  <si>
    <t>Large Industrial</t>
  </si>
  <si>
    <t>9,9A</t>
  </si>
  <si>
    <t>Total (Includes classes not shown)</t>
  </si>
  <si>
    <t>Source:</t>
  </si>
  <si>
    <t>1.  RMP Direct Filing Exhibit ____ (CCP-3)  (Docket No. 10-035-124)</t>
  </si>
  <si>
    <t>Allocation of Net Power Costs to Rate Classes</t>
  </si>
  <si>
    <t>Using the Revised Protocol Inter-Jurisdictional Allocation Method</t>
  </si>
  <si>
    <t>and the Monthly Weighted Factors Class Cost-of-Service Allocation Method</t>
  </si>
  <si>
    <t>from RMP as Filed General Rate Case in Docket 10-035-124</t>
  </si>
  <si>
    <t>General</t>
  </si>
  <si>
    <t>Street &amp; Area</t>
  </si>
  <si>
    <t>Traffic</t>
  </si>
  <si>
    <t>Outdoor</t>
  </si>
  <si>
    <t>Mobile</t>
  </si>
  <si>
    <t>FERC</t>
  </si>
  <si>
    <t>COS</t>
  </si>
  <si>
    <t>Large Dist.</t>
  </si>
  <si>
    <t>+1 MW</t>
  </si>
  <si>
    <t>Lighting</t>
  </si>
  <si>
    <t>Trans</t>
  </si>
  <si>
    <t>Irrigation</t>
  </si>
  <si>
    <t>Signals</t>
  </si>
  <si>
    <t>Small Dist.</t>
  </si>
  <si>
    <t>Home Park</t>
  </si>
  <si>
    <t>Industrial</t>
  </si>
  <si>
    <t>Description</t>
  </si>
  <si>
    <t>Acct</t>
  </si>
  <si>
    <t>Allocator</t>
  </si>
  <si>
    <t>Sch 1</t>
  </si>
  <si>
    <t>Sch 6</t>
  </si>
  <si>
    <t>Sch 8</t>
  </si>
  <si>
    <t>Sch. 7,11,12</t>
  </si>
  <si>
    <t>Sch 9</t>
  </si>
  <si>
    <t>Sch 10</t>
  </si>
  <si>
    <t>Sch 15</t>
  </si>
  <si>
    <t>Sch 23</t>
  </si>
  <si>
    <t>Sch 25</t>
  </si>
  <si>
    <t>Cust A</t>
  </si>
  <si>
    <t>Cust B</t>
  </si>
  <si>
    <t>Cust C</t>
  </si>
  <si>
    <t>Sales for Resale</t>
  </si>
  <si>
    <t>F85</t>
  </si>
  <si>
    <t>Purchased Power Expense</t>
  </si>
  <si>
    <t>Firm Demand</t>
  </si>
  <si>
    <t>F87</t>
  </si>
  <si>
    <t>Firm Energy</t>
  </si>
  <si>
    <t>F89</t>
  </si>
  <si>
    <t>Wheeling Expense</t>
  </si>
  <si>
    <t>Firm</t>
  </si>
  <si>
    <t>F95</t>
  </si>
  <si>
    <t>Non-Firm</t>
  </si>
  <si>
    <t>F96</t>
  </si>
  <si>
    <t>Fuel Expense</t>
  </si>
  <si>
    <t>Coal</t>
  </si>
  <si>
    <t>F90</t>
  </si>
  <si>
    <t>Steam from Other Sources</t>
  </si>
  <si>
    <t>F94</t>
  </si>
  <si>
    <t>Natural Gas</t>
  </si>
  <si>
    <t>F92</t>
  </si>
  <si>
    <t>Natural Gas - SCCT</t>
  </si>
  <si>
    <t>F93</t>
  </si>
  <si>
    <t>Cholla/APS Exchange</t>
  </si>
  <si>
    <t>F91</t>
  </si>
  <si>
    <t>Net Power Costs</t>
  </si>
  <si>
    <t>Other Electric Revenue</t>
  </si>
  <si>
    <t>Firm Wheeling Rev.</t>
  </si>
  <si>
    <t>F10</t>
  </si>
  <si>
    <t>Non-Firm Wheeling Rev.</t>
  </si>
  <si>
    <t>F30</t>
  </si>
  <si>
    <t>EBA Costs</t>
  </si>
  <si>
    <t>"Composite" EBA Share</t>
  </si>
  <si>
    <t>COS Retail MWh @ Input</t>
  </si>
  <si>
    <t>EBA $/MWh</t>
  </si>
  <si>
    <t>Percent Difference from Total</t>
  </si>
  <si>
    <t>Data Sources:</t>
  </si>
</sst>
</file>

<file path=xl/styles.xml><?xml version="1.0" encoding="utf-8"?>
<styleSheet xmlns="http://schemas.openxmlformats.org/spreadsheetml/2006/main">
  <numFmts count="5">
    <numFmt numFmtId="5" formatCode="&quot;$&quot;#,##0_);\(&quot;$&quot;#,##0\)"/>
    <numFmt numFmtId="7" formatCode="&quot;$&quot;#,##0.00_);\(&quot;$&quot;#,##0.00\)"/>
    <numFmt numFmtId="164" formatCode="0.0%"/>
    <numFmt numFmtId="165" formatCode="0.0000%"/>
    <numFmt numFmtId="166" formatCode="&quot;$&quot;#,##0.000_);\(&quot;$&quot;#,##0.000\)"/>
  </numFmts>
  <fonts count="24">
    <font>
      <sz val="10"/>
      <color indexed="8"/>
      <name val="Times New Roman"/>
      <family val="2"/>
    </font>
    <font>
      <u/>
      <vertAlign val="superscript"/>
      <sz val="10"/>
      <color indexed="8"/>
      <name val="Times New Roman"/>
      <family val="1"/>
    </font>
    <font>
      <b/>
      <sz val="14"/>
      <name val="Times New Roman"/>
      <family val="1"/>
    </font>
    <font>
      <sz val="10"/>
      <name val="Times New Roman"/>
      <family val="1"/>
    </font>
    <font>
      <sz val="10"/>
      <color indexed="8"/>
      <name val="Times New Roman"/>
      <family val="2"/>
    </font>
    <font>
      <sz val="10"/>
      <color indexed="9"/>
      <name val="Times New Roman"/>
      <family val="2"/>
    </font>
    <font>
      <sz val="10"/>
      <color indexed="20"/>
      <name val="Times New Roman"/>
      <family val="2"/>
    </font>
    <font>
      <b/>
      <sz val="10"/>
      <color indexed="52"/>
      <name val="Times New Roman"/>
      <family val="2"/>
    </font>
    <font>
      <b/>
      <sz val="10"/>
      <color indexed="9"/>
      <name val="Times New Roman"/>
      <family val="2"/>
    </font>
    <font>
      <i/>
      <sz val="10"/>
      <color indexed="23"/>
      <name val="Times New Roman"/>
      <family val="2"/>
    </font>
    <font>
      <sz val="10"/>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0"/>
      <color indexed="62"/>
      <name val="Times New Roman"/>
      <family val="2"/>
    </font>
    <font>
      <sz val="10"/>
      <color indexed="52"/>
      <name val="Times New Roman"/>
      <family val="2"/>
    </font>
    <font>
      <sz val="10"/>
      <color indexed="60"/>
      <name val="Times New Roman"/>
      <family val="2"/>
    </font>
    <font>
      <b/>
      <sz val="10"/>
      <color indexed="63"/>
      <name val="Times New Roman"/>
      <family val="2"/>
    </font>
    <font>
      <b/>
      <sz val="18"/>
      <color indexed="56"/>
      <name val="Cambria"/>
      <family val="2"/>
    </font>
    <font>
      <b/>
      <sz val="10"/>
      <color indexed="8"/>
      <name val="Times New Roman"/>
      <family val="2"/>
    </font>
    <font>
      <sz val="10"/>
      <color indexed="10"/>
      <name val="Times New Roman"/>
      <family val="2"/>
    </font>
    <font>
      <u/>
      <sz val="10"/>
      <color indexed="8"/>
      <name val="Times New Roman"/>
      <family val="2"/>
    </font>
    <font>
      <b/>
      <sz val="14"/>
      <color indexed="8"/>
      <name val="Times New Roman"/>
      <family val="1"/>
    </font>
    <font>
      <sz val="8"/>
      <name val="Verdana"/>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2" applyNumberFormat="0" applyAlignment="0" applyProtection="0"/>
    <xf numFmtId="0" fontId="8" fillId="21" borderId="3"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7" borderId="2" applyNumberFormat="0" applyAlignment="0" applyProtection="0"/>
    <xf numFmtId="0" fontId="15" fillId="0" borderId="7" applyNumberFormat="0" applyFill="0" applyAlignment="0" applyProtection="0"/>
    <xf numFmtId="0" fontId="16" fillId="22" borderId="0" applyNumberFormat="0" applyBorder="0" applyAlignment="0" applyProtection="0"/>
    <xf numFmtId="0" fontId="4" fillId="23" borderId="8" applyNumberFormat="0" applyFont="0" applyAlignment="0" applyProtection="0"/>
    <xf numFmtId="0" fontId="17" fillId="20" borderId="9"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0" applyNumberFormat="0" applyFill="0" applyBorder="0" applyAlignment="0" applyProtection="0"/>
  </cellStyleXfs>
  <cellXfs count="34">
    <xf numFmtId="0" fontId="0" fillId="0" borderId="0" xfId="0"/>
    <xf numFmtId="0" fontId="0" fillId="0" borderId="0" xfId="0" applyAlignment="1">
      <alignment horizontal="center"/>
    </xf>
    <xf numFmtId="0" fontId="0" fillId="0" borderId="0" xfId="0" quotePrefix="1" applyAlignment="1">
      <alignment horizontal="center"/>
    </xf>
    <xf numFmtId="0" fontId="21" fillId="0" borderId="0" xfId="0" applyFont="1"/>
    <xf numFmtId="0" fontId="21" fillId="0" borderId="0" xfId="0" applyFont="1" applyAlignment="1">
      <alignment horizontal="center"/>
    </xf>
    <xf numFmtId="37" fontId="0" fillId="0" borderId="0" xfId="0" applyNumberFormat="1" applyAlignment="1"/>
    <xf numFmtId="5" fontId="0" fillId="0" borderId="0" xfId="0" applyNumberFormat="1"/>
    <xf numFmtId="10" fontId="4" fillId="0" borderId="0" xfId="39" applyNumberFormat="1" applyFont="1" applyAlignment="1">
      <alignment horizontal="right" indent="2"/>
    </xf>
    <xf numFmtId="7" fontId="0" fillId="0" borderId="0" xfId="0" applyNumberFormat="1" applyAlignment="1">
      <alignment horizontal="center"/>
    </xf>
    <xf numFmtId="164" fontId="4" fillId="0" borderId="0" xfId="39" applyNumberFormat="1" applyFont="1" applyAlignment="1">
      <alignment horizontal="center"/>
    </xf>
    <xf numFmtId="0" fontId="0" fillId="0" borderId="1" xfId="0" applyBorder="1"/>
    <xf numFmtId="0" fontId="0" fillId="0" borderId="1" xfId="0" applyBorder="1" applyAlignment="1">
      <alignment horizontal="center"/>
    </xf>
    <xf numFmtId="37" fontId="0" fillId="0" borderId="1" xfId="0" applyNumberFormat="1" applyBorder="1" applyAlignment="1"/>
    <xf numFmtId="5" fontId="0" fillId="0" borderId="1" xfId="0" applyNumberFormat="1" applyBorder="1"/>
    <xf numFmtId="10" fontId="4" fillId="0" borderId="1" xfId="39" applyNumberFormat="1" applyFont="1" applyBorder="1" applyAlignment="1">
      <alignment horizontal="right" indent="2"/>
    </xf>
    <xf numFmtId="7" fontId="0" fillId="0" borderId="1" xfId="0" applyNumberFormat="1" applyBorder="1" applyAlignment="1">
      <alignment horizontal="center"/>
    </xf>
    <xf numFmtId="164" fontId="4" fillId="0" borderId="1" xfId="39" applyNumberFormat="1" applyFont="1" applyBorder="1" applyAlignment="1">
      <alignment horizontal="center"/>
    </xf>
    <xf numFmtId="37" fontId="0" fillId="0" borderId="0" xfId="0" applyNumberFormat="1"/>
    <xf numFmtId="0" fontId="3" fillId="0" borderId="0" xfId="0" applyFont="1"/>
    <xf numFmtId="0" fontId="3" fillId="0" borderId="0" xfId="0" applyFont="1" applyAlignment="1">
      <alignment horizontal="center"/>
    </xf>
    <xf numFmtId="0" fontId="3" fillId="0" borderId="1" xfId="0" applyFont="1" applyBorder="1"/>
    <xf numFmtId="0" fontId="3" fillId="0" borderId="1" xfId="0" applyFont="1" applyBorder="1" applyAlignment="1">
      <alignment horizontal="center"/>
    </xf>
    <xf numFmtId="5" fontId="3" fillId="0" borderId="0" xfId="0" applyNumberFormat="1" applyFont="1" applyAlignment="1">
      <alignment horizontal="center"/>
    </xf>
    <xf numFmtId="5" fontId="3" fillId="0" borderId="0" xfId="0" applyNumberFormat="1" applyFont="1"/>
    <xf numFmtId="165" fontId="3" fillId="0" borderId="0" xfId="39" applyNumberFormat="1" applyFont="1"/>
    <xf numFmtId="0" fontId="3" fillId="0" borderId="0" xfId="0" applyFont="1" applyAlignment="1">
      <alignment horizontal="left" indent="1"/>
    </xf>
    <xf numFmtId="0" fontId="3" fillId="0" borderId="0" xfId="0" applyFont="1" applyAlignment="1">
      <alignment horizontal="left"/>
    </xf>
    <xf numFmtId="10" fontId="3" fillId="0" borderId="0" xfId="39" applyNumberFormat="1" applyFont="1"/>
    <xf numFmtId="37" fontId="3" fillId="0" borderId="0" xfId="0" applyNumberFormat="1" applyFont="1"/>
    <xf numFmtId="7" fontId="3" fillId="0" borderId="0" xfId="0" applyNumberFormat="1" applyFont="1"/>
    <xf numFmtId="164" fontId="3" fillId="0" borderId="0" xfId="39" applyNumberFormat="1" applyFont="1"/>
    <xf numFmtId="166" fontId="3" fillId="0" borderId="0" xfId="0" applyNumberFormat="1" applyFont="1"/>
    <xf numFmtId="0" fontId="22" fillId="0" borderId="0" xfId="0" applyFont="1" applyAlignment="1">
      <alignment horizontal="center"/>
    </xf>
    <xf numFmtId="0" fontId="2" fillId="0" borderId="0" xfId="0" applyFont="1" applyAlignment="1">
      <alignment horizontal="center"/>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Percent" xfId="39" builtinId="5"/>
    <cellStyle name="Title" xfId="40"/>
    <cellStyle name="Total" xfId="41"/>
    <cellStyle name="Warning Text" xfId="42"/>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18"/>
  <sheetViews>
    <sheetView tabSelected="1" workbookViewId="0">
      <selection sqref="A1:G1"/>
    </sheetView>
  </sheetViews>
  <sheetFormatPr defaultColWidth="8.83203125" defaultRowHeight="12.75"/>
  <cols>
    <col min="1" max="1" width="32.1640625" customWidth="1"/>
    <col min="2" max="2" width="10.5" bestFit="1" customWidth="1"/>
    <col min="3" max="3" width="10.5" customWidth="1"/>
    <col min="4" max="4" width="12.83203125" bestFit="1" customWidth="1"/>
    <col min="5" max="5" width="13" bestFit="1" customWidth="1"/>
    <col min="6" max="6" width="10.83203125" customWidth="1"/>
    <col min="7" max="7" width="10.33203125" bestFit="1" customWidth="1"/>
  </cols>
  <sheetData>
    <row r="1" spans="1:7" ht="18.75">
      <c r="A1" s="32" t="s">
        <v>3</v>
      </c>
      <c r="B1" s="32"/>
      <c r="C1" s="32"/>
      <c r="D1" s="32"/>
      <c r="E1" s="32"/>
      <c r="F1" s="32"/>
      <c r="G1" s="32"/>
    </row>
    <row r="5" spans="1:7">
      <c r="F5" s="1" t="s">
        <v>4</v>
      </c>
    </row>
    <row r="6" spans="1:7">
      <c r="D6" s="1" t="s">
        <v>4</v>
      </c>
      <c r="E6" s="1" t="s">
        <v>5</v>
      </c>
      <c r="F6" s="1" t="s">
        <v>6</v>
      </c>
      <c r="G6" s="1" t="s">
        <v>7</v>
      </c>
    </row>
    <row r="7" spans="1:7">
      <c r="C7" s="1" t="s">
        <v>8</v>
      </c>
      <c r="D7" s="1" t="s">
        <v>6</v>
      </c>
      <c r="E7" s="1" t="s">
        <v>6</v>
      </c>
      <c r="F7" s="1" t="s">
        <v>9</v>
      </c>
      <c r="G7" s="1" t="s">
        <v>10</v>
      </c>
    </row>
    <row r="8" spans="1:7">
      <c r="C8" s="2" t="s">
        <v>11</v>
      </c>
      <c r="D8" s="1" t="s">
        <v>12</v>
      </c>
      <c r="E8" s="1" t="s">
        <v>13</v>
      </c>
      <c r="F8" s="1" t="s">
        <v>12</v>
      </c>
      <c r="G8" s="1" t="s">
        <v>14</v>
      </c>
    </row>
    <row r="9" spans="1:7" ht="15.75">
      <c r="A9" s="3" t="s">
        <v>15</v>
      </c>
      <c r="B9" s="4" t="s">
        <v>16</v>
      </c>
      <c r="C9" s="4" t="s">
        <v>17</v>
      </c>
      <c r="D9" s="4" t="s">
        <v>18</v>
      </c>
      <c r="E9" s="4" t="s">
        <v>19</v>
      </c>
      <c r="F9" s="4" t="s">
        <v>20</v>
      </c>
      <c r="G9" s="4" t="s">
        <v>21</v>
      </c>
    </row>
    <row r="10" spans="1:7">
      <c r="A10" t="s">
        <v>22</v>
      </c>
      <c r="B10" s="1" t="s">
        <v>23</v>
      </c>
      <c r="C10" s="5">
        <f>+'UAE Exhibit KCH-1, p. 2'!D48</f>
        <v>7440736.6921925247</v>
      </c>
      <c r="D10" s="6">
        <f>+'UAE Exhibit KCH-1, p. 2'!D45</f>
        <v>186284898.59870633</v>
      </c>
      <c r="E10" s="7">
        <f t="shared" ref="E10:E15" si="0">+D10/$D$15</f>
        <v>0.30116882332974659</v>
      </c>
      <c r="F10" s="8">
        <f t="shared" ref="F10:F15" si="1">D10/C10</f>
        <v>25.035813832005751</v>
      </c>
      <c r="G10" s="9">
        <f>+F10/$F$15-1</f>
        <v>1.0173731041742018E-2</v>
      </c>
    </row>
    <row r="11" spans="1:7">
      <c r="A11" t="s">
        <v>24</v>
      </c>
      <c r="B11" s="1">
        <v>23</v>
      </c>
      <c r="C11" s="5">
        <f>+'UAE Exhibit KCH-1, p. 2'!L48</f>
        <v>1535353.1800103185</v>
      </c>
      <c r="D11" s="6">
        <f>+'UAE Exhibit KCH-1, p. 2'!L45</f>
        <v>38503304.002406523</v>
      </c>
      <c r="E11" s="7">
        <f t="shared" si="0"/>
        <v>6.2248710700335982E-2</v>
      </c>
      <c r="F11" s="8">
        <f t="shared" si="1"/>
        <v>25.077815647698568</v>
      </c>
      <c r="G11" s="9">
        <f>+F11/$F$15-1</f>
        <v>1.1868468474830696E-2</v>
      </c>
    </row>
    <row r="12" spans="1:7">
      <c r="A12" t="s">
        <v>25</v>
      </c>
      <c r="B12" s="1" t="s">
        <v>26</v>
      </c>
      <c r="C12" s="5">
        <f>+'UAE Exhibit KCH-1, p. 2'!E48</f>
        <v>6763564.6657148562</v>
      </c>
      <c r="D12" s="6">
        <f>+'UAE Exhibit KCH-1, p. 2'!E45</f>
        <v>168915801.14614823</v>
      </c>
      <c r="E12" s="7">
        <f t="shared" si="0"/>
        <v>0.27308801441052616</v>
      </c>
      <c r="F12" s="8">
        <f t="shared" si="1"/>
        <v>24.97437512535339</v>
      </c>
      <c r="G12" s="9">
        <f>+F12/$F$15-1</f>
        <v>7.6947316392919074E-3</v>
      </c>
    </row>
    <row r="13" spans="1:7">
      <c r="A13" t="s">
        <v>27</v>
      </c>
      <c r="B13" s="1">
        <v>8</v>
      </c>
      <c r="C13" s="5">
        <f>+'UAE Exhibit KCH-1, p. 2'!F48</f>
        <v>2392542.4985719612</v>
      </c>
      <c r="D13" s="6">
        <f>+'UAE Exhibit KCH-1, p. 2'!F45</f>
        <v>58888747.030941837</v>
      </c>
      <c r="E13" s="7">
        <f t="shared" si="0"/>
        <v>9.5206078346036283E-2</v>
      </c>
      <c r="F13" s="8">
        <f t="shared" si="1"/>
        <v>24.613459140680181</v>
      </c>
      <c r="G13" s="9">
        <f>+F13/$F$15-1</f>
        <v>-6.8679204588736331E-3</v>
      </c>
    </row>
    <row r="14" spans="1:7">
      <c r="A14" s="10" t="s">
        <v>28</v>
      </c>
      <c r="B14" s="11" t="s">
        <v>29</v>
      </c>
      <c r="C14" s="12">
        <f>+'UAE Exhibit KCH-1, p. 2'!H48</f>
        <v>4708615.6085680192</v>
      </c>
      <c r="D14" s="13">
        <f>+'UAE Exhibit KCH-1, p. 2'!H45</f>
        <v>115359287.01635993</v>
      </c>
      <c r="E14" s="14">
        <f t="shared" si="0"/>
        <v>0.1865026150386884</v>
      </c>
      <c r="F14" s="15">
        <f t="shared" si="1"/>
        <v>24.499618700334494</v>
      </c>
      <c r="G14" s="16">
        <f>+F14/$F$15-1</f>
        <v>-1.1461285113967157E-2</v>
      </c>
    </row>
    <row r="15" spans="1:7">
      <c r="A15" t="s">
        <v>30</v>
      </c>
      <c r="C15" s="17">
        <f>+'UAE Exhibit KCH-1, p. 2'!Q48</f>
        <v>24957552.587777801</v>
      </c>
      <c r="D15" s="6">
        <f>+'UAE Exhibit KCH-1, p. 2'!Q45</f>
        <v>618539782.90025377</v>
      </c>
      <c r="E15" s="7">
        <f t="shared" si="0"/>
        <v>1</v>
      </c>
      <c r="F15" s="8">
        <f t="shared" si="1"/>
        <v>24.783671424703908</v>
      </c>
      <c r="G15" s="9"/>
    </row>
    <row r="17" spans="1:1">
      <c r="A17" t="s">
        <v>31</v>
      </c>
    </row>
    <row r="18" spans="1:1">
      <c r="A18" t="s">
        <v>32</v>
      </c>
    </row>
  </sheetData>
  <mergeCells count="1">
    <mergeCell ref="A1:G1"/>
  </mergeCells>
  <phoneticPr fontId="23" type="noConversion"/>
  <printOptions horizontalCentered="1"/>
  <pageMargins left="1" right="1" top="1.75" bottom="0.75" header="0.75" footer="0.3"/>
  <pageSetup orientation="landscape"/>
  <headerFooter>
    <oddHeader>&amp;R&amp;"Times New Roman,Bold"&amp;8Utah Association of Energy Users _x000D_UAE Exhibit 1R.1 (KCH-1)_x000D_Docket No. 11-035-T10_x000D_Witness:  Kevin C. Higgins_x000D_Page 1 of 2</oddHead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Q61"/>
  <sheetViews>
    <sheetView topLeftCell="F1" workbookViewId="0">
      <selection activeCell="B5" sqref="B5"/>
    </sheetView>
  </sheetViews>
  <sheetFormatPr defaultColWidth="9.33203125" defaultRowHeight="12.75"/>
  <cols>
    <col min="1" max="1" width="26.33203125" style="18" customWidth="1"/>
    <col min="2" max="2" width="6.1640625" style="18" bestFit="1" customWidth="1"/>
    <col min="3" max="3" width="9.5" style="18" bestFit="1" customWidth="1"/>
    <col min="4" max="4" width="12.83203125" style="18" customWidth="1"/>
    <col min="5" max="5" width="12.83203125" style="18" bestFit="1" customWidth="1"/>
    <col min="6" max="6" width="11.83203125" style="18" bestFit="1" customWidth="1"/>
    <col min="7" max="7" width="13.5" style="18" customWidth="1"/>
    <col min="8" max="8" width="12.83203125" style="18" bestFit="1" customWidth="1"/>
    <col min="9" max="11" width="10.83203125" style="18" bestFit="1" customWidth="1"/>
    <col min="12" max="12" width="11.83203125" style="18" bestFit="1" customWidth="1"/>
    <col min="13" max="13" width="10.6640625" style="18" bestFit="1" customWidth="1"/>
    <col min="14" max="14" width="10.83203125" style="18" bestFit="1" customWidth="1"/>
    <col min="15" max="16" width="11.83203125" style="18" bestFit="1" customWidth="1"/>
    <col min="17" max="17" width="12.83203125" style="18" bestFit="1" customWidth="1"/>
    <col min="18" max="16384" width="9.33203125" style="18"/>
  </cols>
  <sheetData>
    <row r="1" spans="1:17" ht="18.75">
      <c r="A1" s="33" t="s">
        <v>33</v>
      </c>
      <c r="B1" s="33"/>
      <c r="C1" s="33"/>
      <c r="D1" s="33"/>
      <c r="E1" s="33"/>
      <c r="F1" s="33"/>
      <c r="G1" s="33"/>
      <c r="H1" s="33"/>
      <c r="I1" s="33"/>
      <c r="J1" s="33"/>
      <c r="K1" s="33"/>
      <c r="L1" s="33"/>
      <c r="M1" s="33"/>
      <c r="N1" s="33"/>
      <c r="O1" s="33"/>
      <c r="P1" s="33"/>
      <c r="Q1" s="33"/>
    </row>
    <row r="2" spans="1:17" ht="18.75">
      <c r="A2" s="33" t="s">
        <v>34</v>
      </c>
      <c r="B2" s="33"/>
      <c r="C2" s="33"/>
      <c r="D2" s="33"/>
      <c r="E2" s="33"/>
      <c r="F2" s="33"/>
      <c r="G2" s="33"/>
      <c r="H2" s="33"/>
      <c r="I2" s="33"/>
      <c r="J2" s="33"/>
      <c r="K2" s="33"/>
      <c r="L2" s="33"/>
      <c r="M2" s="33"/>
      <c r="N2" s="33"/>
      <c r="O2" s="33"/>
      <c r="P2" s="33"/>
      <c r="Q2" s="33"/>
    </row>
    <row r="3" spans="1:17" ht="18.75">
      <c r="A3" s="33" t="s">
        <v>35</v>
      </c>
      <c r="B3" s="33"/>
      <c r="C3" s="33"/>
      <c r="D3" s="33"/>
      <c r="E3" s="33"/>
      <c r="F3" s="33"/>
      <c r="G3" s="33"/>
      <c r="H3" s="33"/>
      <c r="I3" s="33"/>
      <c r="J3" s="33"/>
      <c r="K3" s="33"/>
      <c r="L3" s="33"/>
      <c r="M3" s="33"/>
      <c r="N3" s="33"/>
      <c r="O3" s="33"/>
      <c r="P3" s="33"/>
      <c r="Q3" s="33"/>
    </row>
    <row r="4" spans="1:17" ht="18.75">
      <c r="A4" s="33" t="s">
        <v>36</v>
      </c>
      <c r="B4" s="33"/>
      <c r="C4" s="33"/>
      <c r="D4" s="33"/>
      <c r="E4" s="33"/>
      <c r="F4" s="33"/>
      <c r="G4" s="33"/>
      <c r="H4" s="33"/>
      <c r="I4" s="33"/>
      <c r="J4" s="33"/>
      <c r="K4" s="33"/>
      <c r="L4" s="33"/>
      <c r="M4" s="33"/>
      <c r="N4" s="33"/>
      <c r="O4" s="33"/>
      <c r="P4" s="33"/>
      <c r="Q4" s="33"/>
    </row>
    <row r="7" spans="1:17">
      <c r="D7" s="19"/>
      <c r="E7" s="19" t="s">
        <v>37</v>
      </c>
      <c r="F7" s="19" t="s">
        <v>37</v>
      </c>
      <c r="G7" s="19" t="s">
        <v>38</v>
      </c>
      <c r="H7" s="19" t="s">
        <v>37</v>
      </c>
      <c r="I7" s="19"/>
      <c r="J7" s="19" t="s">
        <v>39</v>
      </c>
      <c r="K7" s="19" t="s">
        <v>40</v>
      </c>
      <c r="L7" s="19" t="s">
        <v>37</v>
      </c>
      <c r="M7" s="19" t="s">
        <v>41</v>
      </c>
      <c r="N7" s="19"/>
      <c r="O7" s="19"/>
      <c r="P7" s="19"/>
      <c r="Q7" s="19"/>
    </row>
    <row r="8" spans="1:17">
      <c r="B8" s="19" t="s">
        <v>42</v>
      </c>
      <c r="C8" s="19" t="s">
        <v>43</v>
      </c>
      <c r="D8" s="19" t="s">
        <v>22</v>
      </c>
      <c r="E8" s="19" t="s">
        <v>44</v>
      </c>
      <c r="F8" s="19" t="s">
        <v>45</v>
      </c>
      <c r="G8" s="19" t="s">
        <v>46</v>
      </c>
      <c r="H8" s="19" t="s">
        <v>47</v>
      </c>
      <c r="I8" s="19" t="s">
        <v>48</v>
      </c>
      <c r="J8" s="19" t="s">
        <v>49</v>
      </c>
      <c r="K8" s="19" t="s">
        <v>46</v>
      </c>
      <c r="L8" s="19" t="s">
        <v>50</v>
      </c>
      <c r="M8" s="19" t="s">
        <v>51</v>
      </c>
      <c r="N8" s="19" t="s">
        <v>52</v>
      </c>
      <c r="O8" s="19" t="s">
        <v>52</v>
      </c>
      <c r="P8" s="19" t="s">
        <v>52</v>
      </c>
      <c r="Q8" s="19" t="s">
        <v>43</v>
      </c>
    </row>
    <row r="9" spans="1:17">
      <c r="A9" s="20" t="s">
        <v>53</v>
      </c>
      <c r="B9" s="21" t="s">
        <v>54</v>
      </c>
      <c r="C9" s="21" t="s">
        <v>55</v>
      </c>
      <c r="D9" s="21" t="s">
        <v>56</v>
      </c>
      <c r="E9" s="21" t="s">
        <v>57</v>
      </c>
      <c r="F9" s="21" t="s">
        <v>58</v>
      </c>
      <c r="G9" s="21" t="s">
        <v>59</v>
      </c>
      <c r="H9" s="21" t="s">
        <v>60</v>
      </c>
      <c r="I9" s="21" t="s">
        <v>61</v>
      </c>
      <c r="J9" s="21" t="s">
        <v>62</v>
      </c>
      <c r="K9" s="21" t="s">
        <v>62</v>
      </c>
      <c r="L9" s="21" t="s">
        <v>63</v>
      </c>
      <c r="M9" s="21" t="s">
        <v>64</v>
      </c>
      <c r="N9" s="21" t="s">
        <v>65</v>
      </c>
      <c r="O9" s="21" t="s">
        <v>66</v>
      </c>
      <c r="P9" s="21" t="s">
        <v>67</v>
      </c>
      <c r="Q9" s="21" t="s">
        <v>21</v>
      </c>
    </row>
    <row r="10" spans="1:17">
      <c r="A10" s="18" t="s">
        <v>68</v>
      </c>
      <c r="B10" s="19">
        <v>447</v>
      </c>
      <c r="C10" s="22" t="s">
        <v>69</v>
      </c>
      <c r="D10" s="23">
        <v>68494206.769383982</v>
      </c>
      <c r="E10" s="23">
        <v>56686475.573689617</v>
      </c>
      <c r="F10" s="23">
        <v>18474964.558297973</v>
      </c>
      <c r="G10" s="23">
        <v>428199.4608442348</v>
      </c>
      <c r="H10" s="23">
        <v>34932795.409990445</v>
      </c>
      <c r="I10" s="23">
        <v>1130676.2715519527</v>
      </c>
      <c r="J10" s="23">
        <v>42356.141663486975</v>
      </c>
      <c r="K10" s="23">
        <v>85746.752816059918</v>
      </c>
      <c r="L10" s="23">
        <v>13290373.631192027</v>
      </c>
      <c r="M10" s="23">
        <v>123357.10754772765</v>
      </c>
      <c r="N10" s="23">
        <v>1764134.817230789</v>
      </c>
      <c r="O10" s="23">
        <v>4518750.9268794116</v>
      </c>
      <c r="P10" s="23">
        <v>3613703.1692531644</v>
      </c>
      <c r="Q10" s="23">
        <f>+SUM(D10:P10)</f>
        <v>203585740.59034088</v>
      </c>
    </row>
    <row r="11" spans="1:17">
      <c r="C11" s="22" t="str">
        <f>+C10</f>
        <v>F85</v>
      </c>
      <c r="D11" s="24">
        <f>+D10/$Q$10</f>
        <v>0.33643911685941369</v>
      </c>
      <c r="E11" s="24">
        <f t="shared" ref="E11:P11" si="0">+E10/$Q$10</f>
        <v>0.27844030436176387</v>
      </c>
      <c r="F11" s="24">
        <f t="shared" si="0"/>
        <v>9.0747831870374704E-2</v>
      </c>
      <c r="G11" s="24">
        <f t="shared" si="0"/>
        <v>2.1032880770656031E-3</v>
      </c>
      <c r="H11" s="24">
        <f t="shared" si="0"/>
        <v>0.17158763334158497</v>
      </c>
      <c r="I11" s="24">
        <f t="shared" si="0"/>
        <v>5.5538087700705971E-3</v>
      </c>
      <c r="J11" s="24">
        <f t="shared" si="0"/>
        <v>2.0805063036667589E-4</v>
      </c>
      <c r="K11" s="24">
        <f t="shared" si="0"/>
        <v>4.2118250800580954E-4</v>
      </c>
      <c r="L11" s="24">
        <f t="shared" si="0"/>
        <v>6.5281456317390962E-2</v>
      </c>
      <c r="M11" s="24">
        <f t="shared" si="0"/>
        <v>6.0592213968437589E-4</v>
      </c>
      <c r="N11" s="24">
        <f t="shared" si="0"/>
        <v>8.6653162059154958E-3</v>
      </c>
      <c r="O11" s="24">
        <f t="shared" si="0"/>
        <v>2.2195812505219254E-2</v>
      </c>
      <c r="P11" s="24">
        <f t="shared" si="0"/>
        <v>1.7750276413143921E-2</v>
      </c>
      <c r="Q11" s="24">
        <f>SUM(D11:P11)</f>
        <v>1</v>
      </c>
    </row>
    <row r="13" spans="1:17">
      <c r="A13" s="18" t="s">
        <v>70</v>
      </c>
      <c r="B13" s="19">
        <v>555</v>
      </c>
      <c r="C13" s="23"/>
      <c r="D13" s="23">
        <f>SUM(D14,D16)</f>
        <v>84938353.243695125</v>
      </c>
      <c r="E13" s="23">
        <f t="shared" ref="E13:P13" si="1">SUM(E14,E16)</f>
        <v>71568995.892350286</v>
      </c>
      <c r="F13" s="23">
        <f t="shared" si="1"/>
        <v>23103836.325786844</v>
      </c>
      <c r="G13" s="23">
        <f t="shared" si="1"/>
        <v>484823.04220547667</v>
      </c>
      <c r="H13" s="23">
        <f t="shared" si="1"/>
        <v>43780262.436536357</v>
      </c>
      <c r="I13" s="23">
        <f t="shared" si="1"/>
        <v>1762241.5508360476</v>
      </c>
      <c r="J13" s="23">
        <f t="shared" si="1"/>
        <v>53311.777634388302</v>
      </c>
      <c r="K13" s="23">
        <f t="shared" si="1"/>
        <v>96466.714544222676</v>
      </c>
      <c r="L13" s="23">
        <f t="shared" si="1"/>
        <v>16763438.805277679</v>
      </c>
      <c r="M13" s="23">
        <f t="shared" si="1"/>
        <v>151552.96324325551</v>
      </c>
      <c r="N13" s="23">
        <f t="shared" si="1"/>
        <v>2223625.6723816041</v>
      </c>
      <c r="O13" s="23">
        <f t="shared" si="1"/>
        <v>6022355.4299553931</v>
      </c>
      <c r="P13" s="23">
        <f t="shared" si="1"/>
        <v>4480692.3865576014</v>
      </c>
      <c r="Q13" s="23">
        <f>+SUM(D13:P13)</f>
        <v>255429956.24100426</v>
      </c>
    </row>
    <row r="14" spans="1:17">
      <c r="A14" s="25" t="s">
        <v>71</v>
      </c>
      <c r="B14" s="19"/>
      <c r="C14" s="22" t="s">
        <v>72</v>
      </c>
      <c r="D14" s="23">
        <v>79587872.30252859</v>
      </c>
      <c r="E14" s="23">
        <v>66723000.404819444</v>
      </c>
      <c r="F14" s="23">
        <v>21395419.839009739</v>
      </c>
      <c r="G14" s="23">
        <v>418465.44763678621</v>
      </c>
      <c r="H14" s="23">
        <v>40434076.16635529</v>
      </c>
      <c r="I14" s="23">
        <v>1618509.5599152315</v>
      </c>
      <c r="J14" s="23">
        <v>49048.834842713091</v>
      </c>
      <c r="K14" s="23">
        <v>83362.821302449069</v>
      </c>
      <c r="L14" s="23">
        <v>15665820.210171115</v>
      </c>
      <c r="M14" s="23">
        <v>141983.07257433701</v>
      </c>
      <c r="N14" s="23">
        <v>2040975.3217744427</v>
      </c>
      <c r="O14" s="23">
        <v>5359716.5413821144</v>
      </c>
      <c r="P14" s="23">
        <v>4064761.6755118747</v>
      </c>
      <c r="Q14" s="23">
        <f>+SUM(D14:P14)</f>
        <v>237583012.19782412</v>
      </c>
    </row>
    <row r="15" spans="1:17">
      <c r="A15" s="25"/>
      <c r="B15" s="19"/>
      <c r="C15" s="22" t="s">
        <v>72</v>
      </c>
      <c r="D15" s="24">
        <f>+D14/$Q$14</f>
        <v>0.33498974344284993</v>
      </c>
      <c r="E15" s="24">
        <f t="shared" ref="E15:P15" si="2">+E14/$Q$14</f>
        <v>0.28084078818422575</v>
      </c>
      <c r="F15" s="24">
        <f t="shared" si="2"/>
        <v>9.0054501965800435E-2</v>
      </c>
      <c r="G15" s="24">
        <f t="shared" si="2"/>
        <v>1.7613441456342418E-3</v>
      </c>
      <c r="H15" s="24">
        <f t="shared" si="2"/>
        <v>0.1701892563458525</v>
      </c>
      <c r="I15" s="24">
        <f t="shared" si="2"/>
        <v>6.812395991374902E-3</v>
      </c>
      <c r="J15" s="24">
        <f t="shared" si="2"/>
        <v>2.064492506807366E-4</v>
      </c>
      <c r="K15" s="24">
        <f t="shared" si="2"/>
        <v>3.5087871195536825E-4</v>
      </c>
      <c r="L15" s="24">
        <f t="shared" si="2"/>
        <v>6.5938301165770763E-2</v>
      </c>
      <c r="M15" s="24">
        <f t="shared" si="2"/>
        <v>5.9761458220806811E-4</v>
      </c>
      <c r="N15" s="24">
        <f t="shared" si="2"/>
        <v>8.5905776801710864E-3</v>
      </c>
      <c r="O15" s="24">
        <f t="shared" si="2"/>
        <v>2.2559342487497937E-2</v>
      </c>
      <c r="P15" s="24">
        <f t="shared" si="2"/>
        <v>1.7108806045978323E-2</v>
      </c>
      <c r="Q15" s="24">
        <f>SUM(D15:P15)</f>
        <v>1.0000000000000002</v>
      </c>
    </row>
    <row r="16" spans="1:17">
      <c r="A16" s="25" t="s">
        <v>73</v>
      </c>
      <c r="B16" s="19"/>
      <c r="C16" s="22" t="s">
        <v>74</v>
      </c>
      <c r="D16" s="23">
        <v>5350480.941166536</v>
      </c>
      <c r="E16" s="23">
        <v>4845995.4875308434</v>
      </c>
      <c r="F16" s="23">
        <v>1708416.4867771035</v>
      </c>
      <c r="G16" s="23">
        <v>66357.594568690431</v>
      </c>
      <c r="H16" s="23">
        <v>3346186.270181065</v>
      </c>
      <c r="I16" s="23">
        <v>143731.99092081602</v>
      </c>
      <c r="J16" s="23">
        <v>4262.9427916752065</v>
      </c>
      <c r="K16" s="23">
        <v>13103.893241773605</v>
      </c>
      <c r="L16" s="23">
        <v>1097618.5951065635</v>
      </c>
      <c r="M16" s="23">
        <v>9569.8906689184932</v>
      </c>
      <c r="N16" s="23">
        <v>182650.35060716161</v>
      </c>
      <c r="O16" s="23">
        <v>662638.88857327832</v>
      </c>
      <c r="P16" s="23">
        <v>415930.71104572626</v>
      </c>
      <c r="Q16" s="23">
        <f>+SUM(D16:P16)</f>
        <v>17846944.043180153</v>
      </c>
    </row>
    <row r="17" spans="1:17">
      <c r="B17" s="19"/>
      <c r="C17" s="22" t="s">
        <v>74</v>
      </c>
      <c r="D17" s="24">
        <f>+D16/$Q$16</f>
        <v>0.29979815750086991</v>
      </c>
      <c r="E17" s="24">
        <f t="shared" ref="E17:P17" si="3">+E16/$Q$16</f>
        <v>0.27153082767593717</v>
      </c>
      <c r="F17" s="24">
        <f t="shared" si="3"/>
        <v>9.5725995590261306E-2</v>
      </c>
      <c r="G17" s="24">
        <f t="shared" si="3"/>
        <v>3.7181488555205976E-3</v>
      </c>
      <c r="H17" s="24">
        <f t="shared" si="3"/>
        <v>0.18749351497293129</v>
      </c>
      <c r="I17" s="24">
        <f t="shared" si="3"/>
        <v>8.0535911679366912E-3</v>
      </c>
      <c r="J17" s="24">
        <f t="shared" si="3"/>
        <v>2.3886121799682582E-4</v>
      </c>
      <c r="K17" s="24">
        <f t="shared" si="3"/>
        <v>7.3423736915794228E-4</v>
      </c>
      <c r="L17" s="24">
        <f t="shared" si="3"/>
        <v>6.1501767050476983E-2</v>
      </c>
      <c r="M17" s="24">
        <f t="shared" si="3"/>
        <v>5.3622013078342295E-4</v>
      </c>
      <c r="N17" s="24">
        <f t="shared" si="3"/>
        <v>1.0234264766295255E-2</v>
      </c>
      <c r="O17" s="24">
        <f t="shared" si="3"/>
        <v>3.7128983369368061E-2</v>
      </c>
      <c r="P17" s="24">
        <f t="shared" si="3"/>
        <v>2.330543033246444E-2</v>
      </c>
      <c r="Q17" s="24">
        <f>SUM(D17:P17)</f>
        <v>1</v>
      </c>
    </row>
    <row r="18" spans="1:17">
      <c r="B18" s="19"/>
      <c r="C18" s="22"/>
    </row>
    <row r="19" spans="1:17">
      <c r="A19" s="18" t="s">
        <v>75</v>
      </c>
      <c r="B19" s="19">
        <v>565</v>
      </c>
      <c r="C19" s="23"/>
      <c r="D19" s="23">
        <f>SUM(D20,D22)</f>
        <v>19989439.164807227</v>
      </c>
      <c r="E19" s="23">
        <f t="shared" ref="E19:P19" si="4">SUM(E20,E22)</f>
        <v>16797918.780811843</v>
      </c>
      <c r="F19" s="23">
        <f t="shared" si="4"/>
        <v>5444385.9484494152</v>
      </c>
      <c r="G19" s="23">
        <f t="shared" si="4"/>
        <v>119850.40928986273</v>
      </c>
      <c r="H19" s="23">
        <f t="shared" si="4"/>
        <v>10316959.687445475</v>
      </c>
      <c r="I19" s="23">
        <f t="shared" si="4"/>
        <v>375788.9452831372</v>
      </c>
      <c r="J19" s="23">
        <f t="shared" si="4"/>
        <v>12480.339424440512</v>
      </c>
      <c r="K19" s="23">
        <f t="shared" si="4"/>
        <v>23939.64331759766</v>
      </c>
      <c r="L19" s="23">
        <f t="shared" si="4"/>
        <v>3941453.9266138156</v>
      </c>
      <c r="M19" s="23">
        <f t="shared" si="4"/>
        <v>35861.288501022369</v>
      </c>
      <c r="N19" s="23">
        <f t="shared" si="4"/>
        <v>520894.05344880011</v>
      </c>
      <c r="O19" s="23">
        <f t="shared" si="4"/>
        <v>1389178.9084263865</v>
      </c>
      <c r="P19" s="23">
        <f t="shared" si="4"/>
        <v>1054855.3863928742</v>
      </c>
      <c r="Q19" s="23">
        <f>+SUM(D19:P19)</f>
        <v>60023006.482211903</v>
      </c>
    </row>
    <row r="20" spans="1:17">
      <c r="A20" s="25" t="s">
        <v>76</v>
      </c>
      <c r="B20" s="19"/>
      <c r="C20" s="22" t="s">
        <v>77</v>
      </c>
      <c r="D20" s="23">
        <v>19420472.577062331</v>
      </c>
      <c r="E20" s="23">
        <v>16284683.191820968</v>
      </c>
      <c r="F20" s="23">
        <v>5262037.2498853253</v>
      </c>
      <c r="G20" s="23">
        <v>112662.26315403623</v>
      </c>
      <c r="H20" s="23">
        <v>9957815.7984165736</v>
      </c>
      <c r="I20" s="23">
        <v>362871.88456124545</v>
      </c>
      <c r="J20" s="23">
        <v>12017.936985963453</v>
      </c>
      <c r="K20" s="23">
        <v>22524.29017969238</v>
      </c>
      <c r="L20" s="23">
        <v>3824059.5750567508</v>
      </c>
      <c r="M20" s="23">
        <v>34831.769765491837</v>
      </c>
      <c r="N20" s="23">
        <v>501619.60177106661</v>
      </c>
      <c r="O20" s="23">
        <v>1316976.7855839389</v>
      </c>
      <c r="P20" s="23">
        <v>1010571.5197155934</v>
      </c>
      <c r="Q20" s="23">
        <f>+SUM(D20:P20)</f>
        <v>58123144.443958975</v>
      </c>
    </row>
    <row r="21" spans="1:17">
      <c r="A21" s="25"/>
      <c r="B21" s="19"/>
      <c r="C21" s="22" t="s">
        <v>77</v>
      </c>
      <c r="D21" s="24">
        <f>+D20/$Q$20</f>
        <v>0.33412632373644396</v>
      </c>
      <c r="E21" s="24">
        <f t="shared" ref="E21:P21" si="5">+E20/$Q$20</f>
        <v>0.28017553674375434</v>
      </c>
      <c r="F21" s="24">
        <f t="shared" si="5"/>
        <v>9.053256323664427E-2</v>
      </c>
      <c r="G21" s="24">
        <f t="shared" si="5"/>
        <v>1.9383373737231757E-3</v>
      </c>
      <c r="H21" s="24">
        <f t="shared" si="5"/>
        <v>0.17132273027688091</v>
      </c>
      <c r="I21" s="24">
        <f t="shared" si="5"/>
        <v>6.2431564574266683E-3</v>
      </c>
      <c r="J21" s="24">
        <f t="shared" si="5"/>
        <v>2.0676680693954672E-4</v>
      </c>
      <c r="K21" s="24">
        <f t="shared" si="5"/>
        <v>3.8752704099499969E-4</v>
      </c>
      <c r="L21" s="24">
        <f t="shared" si="5"/>
        <v>6.5792372584794048E-2</v>
      </c>
      <c r="M21" s="24">
        <f t="shared" si="5"/>
        <v>5.9927538502456358E-4</v>
      </c>
      <c r="N21" s="24">
        <f t="shared" si="5"/>
        <v>8.6302901635804813E-3</v>
      </c>
      <c r="O21" s="24">
        <f t="shared" si="5"/>
        <v>2.2658388464404884E-2</v>
      </c>
      <c r="P21" s="24">
        <f t="shared" si="5"/>
        <v>1.7386731729388174E-2</v>
      </c>
      <c r="Q21" s="24">
        <f>SUM(D21:P21)</f>
        <v>1.0000000000000002</v>
      </c>
    </row>
    <row r="22" spans="1:17">
      <c r="A22" s="25" t="s">
        <v>78</v>
      </c>
      <c r="B22" s="19"/>
      <c r="C22" s="22" t="s">
        <v>79</v>
      </c>
      <c r="D22" s="23">
        <v>568966.58774489444</v>
      </c>
      <c r="E22" s="23">
        <v>513235.58899087424</v>
      </c>
      <c r="F22" s="23">
        <v>182348.69856408981</v>
      </c>
      <c r="G22" s="23">
        <v>7188.1461358265005</v>
      </c>
      <c r="H22" s="23">
        <v>359143.88902890187</v>
      </c>
      <c r="I22" s="23">
        <v>12917.060721891783</v>
      </c>
      <c r="J22" s="23">
        <v>462.40243847705807</v>
      </c>
      <c r="K22" s="23">
        <v>1415.3531379052795</v>
      </c>
      <c r="L22" s="23">
        <v>117394.35155706482</v>
      </c>
      <c r="M22" s="23">
        <v>1029.5187355305341</v>
      </c>
      <c r="N22" s="23">
        <v>19274.451677733494</v>
      </c>
      <c r="O22" s="23">
        <v>72202.122842447701</v>
      </c>
      <c r="P22" s="23">
        <v>44283.866677280857</v>
      </c>
      <c r="Q22" s="23">
        <f>+SUM(D22:P22)</f>
        <v>1899862.0382529183</v>
      </c>
    </row>
    <row r="23" spans="1:17">
      <c r="A23" s="25"/>
      <c r="B23" s="19"/>
      <c r="C23" s="22" t="s">
        <v>79</v>
      </c>
      <c r="D23" s="24">
        <f>+D22/$Q$22</f>
        <v>0.29947784433237412</v>
      </c>
      <c r="E23" s="24">
        <f t="shared" ref="E23:P23" si="6">+E22/$Q$22</f>
        <v>0.27014360972380774</v>
      </c>
      <c r="F23" s="24">
        <f t="shared" si="6"/>
        <v>9.5979968488540707E-2</v>
      </c>
      <c r="G23" s="24">
        <f t="shared" si="6"/>
        <v>3.7835095344273531E-3</v>
      </c>
      <c r="H23" s="24">
        <f t="shared" si="6"/>
        <v>0.18903682572612729</v>
      </c>
      <c r="I23" s="24">
        <f t="shared" si="6"/>
        <v>6.7989466928714982E-3</v>
      </c>
      <c r="J23" s="24">
        <f t="shared" si="6"/>
        <v>2.4338737717096326E-4</v>
      </c>
      <c r="K23" s="24">
        <f t="shared" si="6"/>
        <v>7.4497679800308804E-4</v>
      </c>
      <c r="L23" s="24">
        <f t="shared" si="6"/>
        <v>6.1790987552453401E-2</v>
      </c>
      <c r="M23" s="24">
        <f t="shared" si="6"/>
        <v>5.4189131358046527E-4</v>
      </c>
      <c r="N23" s="24">
        <f t="shared" si="6"/>
        <v>1.0145184907983088E-2</v>
      </c>
      <c r="O23" s="24">
        <f t="shared" si="6"/>
        <v>3.8003876801940617E-2</v>
      </c>
      <c r="P23" s="24">
        <f t="shared" si="6"/>
        <v>2.3308990750719755E-2</v>
      </c>
      <c r="Q23" s="24">
        <f>SUM(D23:P23)</f>
        <v>1.0000000000000002</v>
      </c>
    </row>
    <row r="24" spans="1:17">
      <c r="B24" s="19"/>
    </row>
    <row r="25" spans="1:17">
      <c r="A25" s="18" t="s">
        <v>80</v>
      </c>
      <c r="B25" s="19"/>
      <c r="C25" s="23"/>
      <c r="D25" s="23">
        <f>SUM(D26,D28,D30,D32,D34)</f>
        <v>160237950.72487041</v>
      </c>
      <c r="E25" s="23">
        <f t="shared" ref="E25:P25" si="7">SUM(E26,E28,E30,E32,E34)</f>
        <v>145657446.16469988</v>
      </c>
      <c r="F25" s="23">
        <f t="shared" si="7"/>
        <v>51546250.264815912</v>
      </c>
      <c r="G25" s="23">
        <f t="shared" si="7"/>
        <v>2015089.18694662</v>
      </c>
      <c r="H25" s="23">
        <f t="shared" si="7"/>
        <v>101346764.72283651</v>
      </c>
      <c r="I25" s="23">
        <f t="shared" si="7"/>
        <v>4097612.1017998927</v>
      </c>
      <c r="J25" s="23">
        <f t="shared" si="7"/>
        <v>129925.51580010117</v>
      </c>
      <c r="K25" s="23">
        <f t="shared" si="7"/>
        <v>396778.82074664574</v>
      </c>
      <c r="L25" s="23">
        <f t="shared" si="7"/>
        <v>33070591.932586994</v>
      </c>
      <c r="M25" s="23">
        <f t="shared" si="7"/>
        <v>287916.82721321291</v>
      </c>
      <c r="N25" s="23">
        <f t="shared" si="7"/>
        <v>5507083.3639506306</v>
      </c>
      <c r="O25" s="23">
        <f t="shared" si="7"/>
        <v>20213682.324476216</v>
      </c>
      <c r="P25" s="23">
        <f t="shared" si="7"/>
        <v>12627280.845972853</v>
      </c>
      <c r="Q25" s="23">
        <f>+SUM(D25:P25)</f>
        <v>537134372.79671597</v>
      </c>
    </row>
    <row r="26" spans="1:17">
      <c r="A26" s="25" t="s">
        <v>81</v>
      </c>
      <c r="B26" s="19">
        <v>501</v>
      </c>
      <c r="C26" s="22" t="s">
        <v>82</v>
      </c>
      <c r="D26" s="23">
        <v>88342665.148150608</v>
      </c>
      <c r="E26" s="23">
        <v>80533770.982110918</v>
      </c>
      <c r="F26" s="23">
        <v>28528924.087783061</v>
      </c>
      <c r="G26" s="23">
        <v>1116111.6655114666</v>
      </c>
      <c r="H26" s="23">
        <v>56145588.839367896</v>
      </c>
      <c r="I26" s="23">
        <v>2319543.7153884331</v>
      </c>
      <c r="J26" s="23">
        <v>71944.306868271495</v>
      </c>
      <c r="K26" s="23">
        <v>219868.6358292441</v>
      </c>
      <c r="L26" s="23">
        <v>18277694.404221885</v>
      </c>
      <c r="M26" s="23">
        <v>158660.36107241549</v>
      </c>
      <c r="N26" s="23">
        <v>3050160.404825977</v>
      </c>
      <c r="O26" s="23">
        <v>11220003.795137659</v>
      </c>
      <c r="P26" s="23">
        <v>6994550.2858744105</v>
      </c>
      <c r="Q26" s="23">
        <f>+SUM(D26:P26)</f>
        <v>296979486.63214231</v>
      </c>
    </row>
    <row r="27" spans="1:17">
      <c r="A27" s="25"/>
      <c r="B27" s="19"/>
      <c r="C27" s="22" t="s">
        <v>82</v>
      </c>
      <c r="D27" s="24">
        <f>+D26/$Q$26</f>
        <v>0.29747059687518906</v>
      </c>
      <c r="E27" s="24">
        <f t="shared" ref="E27:P27" si="8">+E26/$Q$26</f>
        <v>0.27117620780948137</v>
      </c>
      <c r="F27" s="24">
        <f t="shared" si="8"/>
        <v>9.6063618438134088E-2</v>
      </c>
      <c r="G27" s="24">
        <f t="shared" si="8"/>
        <v>3.7582113100422775E-3</v>
      </c>
      <c r="H27" s="24">
        <f t="shared" si="8"/>
        <v>0.18905544445537209</v>
      </c>
      <c r="I27" s="24">
        <f t="shared" si="8"/>
        <v>7.8104509563704898E-3</v>
      </c>
      <c r="J27" s="24">
        <f t="shared" si="8"/>
        <v>2.4225345556404135E-4</v>
      </c>
      <c r="K27" s="24">
        <f t="shared" si="8"/>
        <v>7.403495720281428E-4</v>
      </c>
      <c r="L27" s="24">
        <f t="shared" si="8"/>
        <v>6.1545309447119494E-2</v>
      </c>
      <c r="M27" s="24">
        <f t="shared" si="8"/>
        <v>5.3424686961272281E-4</v>
      </c>
      <c r="N27" s="24">
        <f t="shared" si="8"/>
        <v>1.0270609729365247E-2</v>
      </c>
      <c r="O27" s="24">
        <f t="shared" si="8"/>
        <v>3.7780399994547333E-2</v>
      </c>
      <c r="P27" s="24">
        <f t="shared" si="8"/>
        <v>2.3552301087173422E-2</v>
      </c>
      <c r="Q27" s="24">
        <f>SUM(D27:P27)</f>
        <v>0.99999999999999956</v>
      </c>
    </row>
    <row r="28" spans="1:17">
      <c r="A28" s="25" t="s">
        <v>83</v>
      </c>
      <c r="B28" s="19">
        <v>503</v>
      </c>
      <c r="C28" s="22" t="s">
        <v>84</v>
      </c>
      <c r="D28" s="23">
        <v>465183.2338078061</v>
      </c>
      <c r="E28" s="23">
        <v>423660.79966059717</v>
      </c>
      <c r="F28" s="23">
        <v>150195.98354427423</v>
      </c>
      <c r="G28" s="23">
        <v>5877.3612780182239</v>
      </c>
      <c r="H28" s="23">
        <v>295455.57090633252</v>
      </c>
      <c r="I28" s="23">
        <v>11826.726639372211</v>
      </c>
      <c r="J28" s="23">
        <v>379.75898260455364</v>
      </c>
      <c r="K28" s="23">
        <v>1160.8220077293088</v>
      </c>
      <c r="L28" s="23">
        <v>96220.849839101065</v>
      </c>
      <c r="M28" s="23">
        <v>837.76752647666513</v>
      </c>
      <c r="N28" s="23">
        <v>16030.203175313542</v>
      </c>
      <c r="O28" s="23">
        <v>59068.888373669557</v>
      </c>
      <c r="P28" s="23">
        <v>36758.28497777263</v>
      </c>
      <c r="Q28" s="23">
        <f>+SUM(D28:P28)</f>
        <v>1562656.2507190679</v>
      </c>
    </row>
    <row r="29" spans="1:17">
      <c r="A29" s="25"/>
      <c r="B29" s="19"/>
      <c r="C29" s="22" t="s">
        <v>84</v>
      </c>
      <c r="D29" s="24">
        <f>+D28/$Q$28</f>
        <v>0.29768750074992412</v>
      </c>
      <c r="E29" s="24">
        <f t="shared" ref="E29:P29" si="9">+E28/$Q$28</f>
        <v>0.27111580007800595</v>
      </c>
      <c r="F29" s="24">
        <f t="shared" si="9"/>
        <v>9.6115817842318443E-2</v>
      </c>
      <c r="G29" s="24">
        <f t="shared" si="9"/>
        <v>3.7611351026905068E-3</v>
      </c>
      <c r="H29" s="24">
        <f t="shared" si="9"/>
        <v>0.18907265802723819</v>
      </c>
      <c r="I29" s="24">
        <f t="shared" si="9"/>
        <v>7.5683482108941458E-3</v>
      </c>
      <c r="J29" s="24">
        <f t="shared" si="9"/>
        <v>2.4302144661041399E-4</v>
      </c>
      <c r="K29" s="24">
        <f t="shared" si="9"/>
        <v>7.4285179942495212E-4</v>
      </c>
      <c r="L29" s="24">
        <f t="shared" si="9"/>
        <v>6.1575186350052567E-2</v>
      </c>
      <c r="M29" s="24">
        <f t="shared" si="9"/>
        <v>5.3611760493784875E-4</v>
      </c>
      <c r="N29" s="24">
        <f t="shared" si="9"/>
        <v>1.0258304197060053E-2</v>
      </c>
      <c r="O29" s="24">
        <f t="shared" si="9"/>
        <v>3.7800308510901597E-2</v>
      </c>
      <c r="P29" s="24">
        <f t="shared" si="9"/>
        <v>2.3522950079941145E-2</v>
      </c>
      <c r="Q29" s="24">
        <f>SUM(D29:P29)</f>
        <v>0.99999999999999978</v>
      </c>
    </row>
    <row r="30" spans="1:17">
      <c r="A30" s="25" t="s">
        <v>85</v>
      </c>
      <c r="B30" s="19">
        <v>547</v>
      </c>
      <c r="C30" s="22" t="s">
        <v>86</v>
      </c>
      <c r="D30" s="23">
        <v>59819485.044477932</v>
      </c>
      <c r="E30" s="23">
        <v>54110346.964246027</v>
      </c>
      <c r="F30" s="23">
        <v>19113193.06759448</v>
      </c>
      <c r="G30" s="23">
        <v>746005.34402210661</v>
      </c>
      <c r="H30" s="23">
        <v>37509883.879569016</v>
      </c>
      <c r="I30" s="23">
        <v>1463988.7156074515</v>
      </c>
      <c r="J30" s="23">
        <v>48131.760605864722</v>
      </c>
      <c r="K30" s="23">
        <v>146806.07839881509</v>
      </c>
      <c r="L30" s="23">
        <v>12292317.253616862</v>
      </c>
      <c r="M30" s="23">
        <v>107564.82568144843</v>
      </c>
      <c r="N30" s="23">
        <v>2039302.885850094</v>
      </c>
      <c r="O30" s="23">
        <v>7454528.8678547675</v>
      </c>
      <c r="P30" s="23">
        <v>4675250.7373657823</v>
      </c>
      <c r="Q30" s="23">
        <f>+SUM(D30:P30)</f>
        <v>199526805.4248907</v>
      </c>
    </row>
    <row r="31" spans="1:17">
      <c r="A31" s="25"/>
      <c r="B31" s="19"/>
      <c r="C31" s="22" t="s">
        <v>86</v>
      </c>
      <c r="D31" s="24">
        <f>+D30/$Q$30</f>
        <v>0.2998067598841811</v>
      </c>
      <c r="E31" s="24">
        <f t="shared" ref="E31:P31" si="10">+E30/$Q$30</f>
        <v>0.27119337098099922</v>
      </c>
      <c r="F31" s="24">
        <f t="shared" si="10"/>
        <v>9.5792608050297268E-2</v>
      </c>
      <c r="G31" s="24">
        <f t="shared" si="10"/>
        <v>3.7388727917208636E-3</v>
      </c>
      <c r="H31" s="24">
        <f t="shared" si="10"/>
        <v>0.18799420859614338</v>
      </c>
      <c r="I31" s="24">
        <f t="shared" si="10"/>
        <v>7.3373034389534759E-3</v>
      </c>
      <c r="J31" s="24">
        <f t="shared" si="10"/>
        <v>2.4122954559097225E-4</v>
      </c>
      <c r="K31" s="24">
        <f t="shared" si="10"/>
        <v>7.3577120671176367E-4</v>
      </c>
      <c r="L31" s="24">
        <f t="shared" si="10"/>
        <v>6.1607347581396257E-2</v>
      </c>
      <c r="M31" s="24">
        <f t="shared" si="10"/>
        <v>5.3909962349364552E-4</v>
      </c>
      <c r="N31" s="24">
        <f t="shared" si="10"/>
        <v>1.0220696319511632E-2</v>
      </c>
      <c r="O31" s="24">
        <f t="shared" si="10"/>
        <v>3.7361039545440573E-2</v>
      </c>
      <c r="P31" s="24">
        <f t="shared" si="10"/>
        <v>2.3431692435559592E-2</v>
      </c>
      <c r="Q31" s="24">
        <f>SUM(D31:P31)</f>
        <v>0.99999999999999978</v>
      </c>
    </row>
    <row r="32" spans="1:17">
      <c r="A32" s="25" t="s">
        <v>87</v>
      </c>
      <c r="B32" s="19">
        <v>547</v>
      </c>
      <c r="C32" s="22" t="s">
        <v>88</v>
      </c>
      <c r="D32" s="23">
        <v>4723000.2901219195</v>
      </c>
      <c r="E32" s="23">
        <v>4325071.0619527781</v>
      </c>
      <c r="F32" s="23">
        <v>1534605.4303468813</v>
      </c>
      <c r="G32" s="23">
        <v>60093.917809663893</v>
      </c>
      <c r="H32" s="23">
        <v>3029982.4625221468</v>
      </c>
      <c r="I32" s="23">
        <v>128631.11207822333</v>
      </c>
      <c r="J32" s="23">
        <v>3871.6663715779277</v>
      </c>
      <c r="K32" s="23">
        <v>11877.673510984985</v>
      </c>
      <c r="L32" s="23">
        <v>981388.58050224371</v>
      </c>
      <c r="M32" s="23">
        <v>8487.3488854060579</v>
      </c>
      <c r="N32" s="23">
        <v>164056.41970142428</v>
      </c>
      <c r="O32" s="23">
        <v>607078.74517634453</v>
      </c>
      <c r="P32" s="23">
        <v>377349.07389182842</v>
      </c>
      <c r="Q32" s="23">
        <f>+SUM(D32:P32)</f>
        <v>15955493.782871423</v>
      </c>
    </row>
    <row r="33" spans="1:17">
      <c r="A33" s="25"/>
      <c r="B33" s="19"/>
      <c r="C33" s="22" t="s">
        <v>88</v>
      </c>
      <c r="D33" s="24">
        <f>+D32/$Q$32</f>
        <v>0.29601091350693043</v>
      </c>
      <c r="E33" s="24">
        <f t="shared" ref="E33:P33" si="11">+E32/$Q$32</f>
        <v>0.27107096281757437</v>
      </c>
      <c r="F33" s="24">
        <f t="shared" si="11"/>
        <v>9.6180378447097273E-2</v>
      </c>
      <c r="G33" s="24">
        <f t="shared" si="11"/>
        <v>3.7663464777364679E-3</v>
      </c>
      <c r="H33" s="24">
        <f t="shared" si="11"/>
        <v>0.18990214303332312</v>
      </c>
      <c r="I33" s="24">
        <f t="shared" si="11"/>
        <v>8.0618697126322528E-3</v>
      </c>
      <c r="J33" s="24">
        <f t="shared" si="11"/>
        <v>2.4265412429505927E-4</v>
      </c>
      <c r="K33" s="24">
        <f t="shared" si="11"/>
        <v>7.4442531661012782E-4</v>
      </c>
      <c r="L33" s="24">
        <f t="shared" si="11"/>
        <v>6.1507878969924837E-2</v>
      </c>
      <c r="M33" s="24">
        <f t="shared" si="11"/>
        <v>5.3193896728645376E-4</v>
      </c>
      <c r="N33" s="24">
        <f t="shared" si="11"/>
        <v>1.0282127393483899E-2</v>
      </c>
      <c r="O33" s="24">
        <f t="shared" si="11"/>
        <v>3.8048258075726683E-2</v>
      </c>
      <c r="P33" s="24">
        <f t="shared" si="11"/>
        <v>2.3650103157378997E-2</v>
      </c>
      <c r="Q33" s="24">
        <f>SUM(D33:P33)</f>
        <v>0.99999999999999978</v>
      </c>
    </row>
    <row r="34" spans="1:17">
      <c r="A34" s="25" t="s">
        <v>89</v>
      </c>
      <c r="B34" s="19">
        <v>501</v>
      </c>
      <c r="C34" s="22" t="s">
        <v>90</v>
      </c>
      <c r="D34" s="23">
        <v>6887617.0083121667</v>
      </c>
      <c r="E34" s="23">
        <v>6264596.3567295745</v>
      </c>
      <c r="F34" s="23">
        <v>2219331.6955472147</v>
      </c>
      <c r="G34" s="23">
        <v>87000.898325364862</v>
      </c>
      <c r="H34" s="23">
        <v>4365853.9704711111</v>
      </c>
      <c r="I34" s="23">
        <v>173621.83208641273</v>
      </c>
      <c r="J34" s="23">
        <v>5598.0229717824632</v>
      </c>
      <c r="K34" s="23">
        <v>17065.610999872282</v>
      </c>
      <c r="L34" s="23">
        <v>1422970.8444069</v>
      </c>
      <c r="M34" s="23">
        <v>12366.524047466295</v>
      </c>
      <c r="N34" s="23">
        <v>237533.45039782076</v>
      </c>
      <c r="O34" s="23">
        <v>873002.02793377661</v>
      </c>
      <c r="P34" s="23">
        <v>543372.46386305941</v>
      </c>
      <c r="Q34" s="23">
        <f>+SUM(D34:P34)</f>
        <v>23109930.706092522</v>
      </c>
    </row>
    <row r="35" spans="1:17">
      <c r="C35" s="22" t="s">
        <v>90</v>
      </c>
      <c r="D35" s="24">
        <f>+D34/$Q$34</f>
        <v>0.29803711209295702</v>
      </c>
      <c r="E35" s="24">
        <f t="shared" ref="E35:P35" si="12">+E34/$Q$34</f>
        <v>0.27107811080878857</v>
      </c>
      <c r="F35" s="24">
        <f t="shared" si="12"/>
        <v>9.6033680229172108E-2</v>
      </c>
      <c r="G35" s="24">
        <f t="shared" si="12"/>
        <v>3.7646542273027509E-3</v>
      </c>
      <c r="H35" s="24">
        <f t="shared" si="12"/>
        <v>0.18891679191924757</v>
      </c>
      <c r="I35" s="24">
        <f t="shared" si="12"/>
        <v>7.5128668404289252E-3</v>
      </c>
      <c r="J35" s="24">
        <f t="shared" si="12"/>
        <v>2.422345199982207E-4</v>
      </c>
      <c r="K35" s="24">
        <f t="shared" si="12"/>
        <v>7.384535772482103E-4</v>
      </c>
      <c r="L35" s="24">
        <f t="shared" si="12"/>
        <v>6.1573998749886304E-2</v>
      </c>
      <c r="M35" s="24">
        <f t="shared" si="12"/>
        <v>5.3511731405607725E-4</v>
      </c>
      <c r="N35" s="24">
        <f t="shared" si="12"/>
        <v>1.0278414652935299E-2</v>
      </c>
      <c r="O35" s="24">
        <f t="shared" si="12"/>
        <v>3.7776055628917365E-2</v>
      </c>
      <c r="P35" s="24">
        <f t="shared" si="12"/>
        <v>2.351250943906158E-2</v>
      </c>
      <c r="Q35" s="24">
        <f>SUM(D35:P35)</f>
        <v>1.0000000000000002</v>
      </c>
    </row>
    <row r="36" spans="1:17">
      <c r="C36" s="22"/>
    </row>
    <row r="37" spans="1:17">
      <c r="A37" s="26" t="s">
        <v>91</v>
      </c>
      <c r="C37" s="23"/>
      <c r="D37" s="23">
        <f t="shared" ref="D37:P37" si="13">+D25+D19+D13-D10</f>
        <v>196671536.36398882</v>
      </c>
      <c r="E37" s="23">
        <f t="shared" si="13"/>
        <v>177337885.26417241</v>
      </c>
      <c r="F37" s="23">
        <f t="shared" si="13"/>
        <v>61619507.980754197</v>
      </c>
      <c r="G37" s="23">
        <f t="shared" si="13"/>
        <v>2191563.1775977248</v>
      </c>
      <c r="H37" s="23">
        <f t="shared" si="13"/>
        <v>120511191.43682788</v>
      </c>
      <c r="I37" s="23">
        <f t="shared" si="13"/>
        <v>5104966.326367124</v>
      </c>
      <c r="J37" s="23">
        <f t="shared" si="13"/>
        <v>153361.491195443</v>
      </c>
      <c r="K37" s="23">
        <f t="shared" si="13"/>
        <v>431438.4257924062</v>
      </c>
      <c r="L37" s="23">
        <f t="shared" si="13"/>
        <v>40485111.033286467</v>
      </c>
      <c r="M37" s="23">
        <f t="shared" si="13"/>
        <v>351973.97140976315</v>
      </c>
      <c r="N37" s="23">
        <f t="shared" si="13"/>
        <v>6487468.2725502457</v>
      </c>
      <c r="O37" s="23">
        <f t="shared" si="13"/>
        <v>23106465.735978581</v>
      </c>
      <c r="P37" s="23">
        <f t="shared" si="13"/>
        <v>14549125.449670164</v>
      </c>
      <c r="Q37" s="23">
        <f>+SUM(D37:P37)</f>
        <v>649001594.9295913</v>
      </c>
    </row>
    <row r="39" spans="1:17">
      <c r="A39" s="18" t="s">
        <v>92</v>
      </c>
      <c r="B39" s="19">
        <v>456</v>
      </c>
      <c r="D39" s="23">
        <f t="shared" ref="D39:Q39" si="14">SUM(D40,D42)</f>
        <v>10386637.765282471</v>
      </c>
      <c r="E39" s="23">
        <f t="shared" si="14"/>
        <v>8422084.1180241611</v>
      </c>
      <c r="F39" s="23">
        <f t="shared" si="14"/>
        <v>2730760.949812362</v>
      </c>
      <c r="G39" s="23">
        <f t="shared" si="14"/>
        <v>62330.337517445143</v>
      </c>
      <c r="H39" s="23">
        <f t="shared" si="14"/>
        <v>5151904.4204679523</v>
      </c>
      <c r="I39" s="23">
        <f t="shared" si="14"/>
        <v>219411.01780260191</v>
      </c>
      <c r="J39" s="23">
        <f t="shared" si="14"/>
        <v>6227.7741683580025</v>
      </c>
      <c r="K39" s="23">
        <f t="shared" si="14"/>
        <v>12450.543075309328</v>
      </c>
      <c r="L39" s="23">
        <f t="shared" si="14"/>
        <v>1981807.0308799443</v>
      </c>
      <c r="M39" s="23">
        <f t="shared" si="14"/>
        <v>18461.960826407856</v>
      </c>
      <c r="N39" s="23">
        <f t="shared" si="14"/>
        <v>261720.73375659197</v>
      </c>
      <c r="O39" s="23">
        <f t="shared" si="14"/>
        <v>673801.39201076073</v>
      </c>
      <c r="P39" s="23">
        <f t="shared" si="14"/>
        <v>534213.98571303301</v>
      </c>
      <c r="Q39" s="23">
        <f t="shared" si="14"/>
        <v>30461812.029337395</v>
      </c>
    </row>
    <row r="40" spans="1:17">
      <c r="A40" s="25" t="s">
        <v>93</v>
      </c>
      <c r="B40" s="19"/>
      <c r="C40" s="19" t="s">
        <v>94</v>
      </c>
      <c r="D40" s="23">
        <f>+D41*$Q$40</f>
        <v>9407585.4451560676</v>
      </c>
      <c r="E40" s="23">
        <f t="shared" ref="E40:P40" si="15">+E41*$Q$40</f>
        <v>7532134.1100845765</v>
      </c>
      <c r="F40" s="23">
        <f t="shared" si="15"/>
        <v>2415950.1479886957</v>
      </c>
      <c r="G40" s="23">
        <f t="shared" si="15"/>
        <v>50037.655901841594</v>
      </c>
      <c r="H40" s="23">
        <f t="shared" si="15"/>
        <v>4532344.6608827068</v>
      </c>
      <c r="I40" s="23">
        <f t="shared" si="15"/>
        <v>192585.02543050135</v>
      </c>
      <c r="J40" s="23">
        <f t="shared" si="15"/>
        <v>5434.3790589263963</v>
      </c>
      <c r="K40" s="23">
        <f t="shared" si="15"/>
        <v>10024.433582831158</v>
      </c>
      <c r="L40" s="23">
        <f t="shared" si="15"/>
        <v>1779785.2210395511</v>
      </c>
      <c r="M40" s="23">
        <f t="shared" si="15"/>
        <v>16707.580914291899</v>
      </c>
      <c r="N40" s="23">
        <f t="shared" si="15"/>
        <v>228086.53366419399</v>
      </c>
      <c r="O40" s="23">
        <f t="shared" si="15"/>
        <v>550170.88229903823</v>
      </c>
      <c r="P40" s="23">
        <f t="shared" si="15"/>
        <v>457050.55939479993</v>
      </c>
      <c r="Q40" s="23">
        <v>27177896.635398019</v>
      </c>
    </row>
    <row r="41" spans="1:17">
      <c r="A41" s="25"/>
      <c r="B41" s="19"/>
      <c r="D41" s="24">
        <v>0.3461484003476229</v>
      </c>
      <c r="E41" s="24">
        <v>0.27714190730544991</v>
      </c>
      <c r="F41" s="24">
        <v>8.8893933934608704E-2</v>
      </c>
      <c r="G41" s="24">
        <v>1.8411158366343089E-3</v>
      </c>
      <c r="H41" s="24">
        <v>0.16676583628548822</v>
      </c>
      <c r="I41" s="24">
        <v>7.0860901420777278E-3</v>
      </c>
      <c r="J41" s="24">
        <v>1.9995583660614691E-4</v>
      </c>
      <c r="K41" s="24">
        <v>3.6884508456680096E-4</v>
      </c>
      <c r="L41" s="24">
        <v>6.5486496063917571E-2</v>
      </c>
      <c r="M41" s="24">
        <v>6.1474885781010022E-4</v>
      </c>
      <c r="N41" s="24">
        <v>8.3923541517602687E-3</v>
      </c>
      <c r="O41" s="24">
        <v>2.0243320875040226E-2</v>
      </c>
      <c r="P41" s="24">
        <v>1.6816995278417228E-2</v>
      </c>
      <c r="Q41" s="24">
        <f>SUM(D41:P41)</f>
        <v>1.0000000000000002</v>
      </c>
    </row>
    <row r="42" spans="1:17">
      <c r="A42" s="25" t="s">
        <v>95</v>
      </c>
      <c r="B42" s="19"/>
      <c r="C42" s="19" t="s">
        <v>96</v>
      </c>
      <c r="D42" s="23">
        <v>979052.32012640382</v>
      </c>
      <c r="E42" s="23">
        <v>889950.00793958455</v>
      </c>
      <c r="F42" s="23">
        <v>314810.80182366609</v>
      </c>
      <c r="G42" s="23">
        <v>12292.681615603551</v>
      </c>
      <c r="H42" s="23">
        <v>619559.75958524586</v>
      </c>
      <c r="I42" s="23">
        <v>26825.992372100573</v>
      </c>
      <c r="J42" s="23">
        <v>793.3951094316061</v>
      </c>
      <c r="K42" s="23">
        <v>2426.109492478171</v>
      </c>
      <c r="L42" s="23">
        <v>202021.80984039319</v>
      </c>
      <c r="M42" s="23">
        <v>1754.3799121159559</v>
      </c>
      <c r="N42" s="23">
        <v>33634.200092397972</v>
      </c>
      <c r="O42" s="23">
        <v>123630.50971172248</v>
      </c>
      <c r="P42" s="23">
        <v>77163.426318233091</v>
      </c>
      <c r="Q42" s="23">
        <f>+SUM(D42:P42)</f>
        <v>3283915.3939393773</v>
      </c>
    </row>
    <row r="43" spans="1:17">
      <c r="D43" s="24">
        <f>+D42/$Q$42</f>
        <v>0.29813567119703865</v>
      </c>
      <c r="E43" s="24">
        <f t="shared" ref="E43:P43" si="16">+E42/$Q$42</f>
        <v>0.27100272119739438</v>
      </c>
      <c r="F43" s="24">
        <f t="shared" si="16"/>
        <v>9.5864467886311699E-2</v>
      </c>
      <c r="G43" s="24">
        <f t="shared" si="16"/>
        <v>3.7433003415040115E-3</v>
      </c>
      <c r="H43" s="24">
        <f t="shared" si="16"/>
        <v>0.18866495791233628</v>
      </c>
      <c r="I43" s="24">
        <f t="shared" si="16"/>
        <v>8.1689048449936387E-3</v>
      </c>
      <c r="J43" s="24">
        <f t="shared" si="16"/>
        <v>2.4160035026963688E-4</v>
      </c>
      <c r="K43" s="24">
        <f t="shared" si="16"/>
        <v>7.3878562674168518E-4</v>
      </c>
      <c r="L43" s="24">
        <f t="shared" si="16"/>
        <v>6.1518579380343989E-2</v>
      </c>
      <c r="M43" s="24">
        <f t="shared" si="16"/>
        <v>5.3423419962455427E-4</v>
      </c>
      <c r="N43" s="24">
        <f t="shared" si="16"/>
        <v>1.0242103117050913E-2</v>
      </c>
      <c r="O43" s="24">
        <f t="shared" si="16"/>
        <v>3.764728833754015E-2</v>
      </c>
      <c r="P43" s="24">
        <f t="shared" si="16"/>
        <v>2.3497385608850303E-2</v>
      </c>
      <c r="Q43" s="24">
        <f>SUM(D43:P43)</f>
        <v>0.99999999999999989</v>
      </c>
    </row>
    <row r="44" spans="1:17">
      <c r="D44" s="24"/>
      <c r="E44" s="24"/>
      <c r="F44" s="24"/>
      <c r="G44" s="24"/>
      <c r="H44" s="24"/>
      <c r="I44" s="24"/>
      <c r="J44" s="24"/>
      <c r="K44" s="24"/>
      <c r="L44" s="24"/>
      <c r="M44" s="24"/>
      <c r="N44" s="24"/>
      <c r="O44" s="24"/>
      <c r="P44" s="24"/>
      <c r="Q44" s="24"/>
    </row>
    <row r="45" spans="1:17">
      <c r="A45" s="18" t="s">
        <v>97</v>
      </c>
      <c r="D45" s="23">
        <f>+D37-D39</f>
        <v>186284898.59870633</v>
      </c>
      <c r="E45" s="23">
        <f t="shared" ref="E45:P45" si="17">+E37-E39</f>
        <v>168915801.14614823</v>
      </c>
      <c r="F45" s="23">
        <f t="shared" si="17"/>
        <v>58888747.030941837</v>
      </c>
      <c r="G45" s="23">
        <f t="shared" si="17"/>
        <v>2129232.8400802799</v>
      </c>
      <c r="H45" s="23">
        <f t="shared" si="17"/>
        <v>115359287.01635993</v>
      </c>
      <c r="I45" s="23">
        <f t="shared" si="17"/>
        <v>4885555.3085645223</v>
      </c>
      <c r="J45" s="23">
        <f t="shared" si="17"/>
        <v>147133.71702708499</v>
      </c>
      <c r="K45" s="23">
        <f t="shared" si="17"/>
        <v>418987.88271709689</v>
      </c>
      <c r="L45" s="23">
        <f t="shared" si="17"/>
        <v>38503304.002406523</v>
      </c>
      <c r="M45" s="23">
        <f t="shared" si="17"/>
        <v>333512.01058335532</v>
      </c>
      <c r="N45" s="23">
        <f t="shared" si="17"/>
        <v>6225747.5387936542</v>
      </c>
      <c r="O45" s="23">
        <f t="shared" si="17"/>
        <v>22432664.343967821</v>
      </c>
      <c r="P45" s="23">
        <f t="shared" si="17"/>
        <v>14014911.463957131</v>
      </c>
      <c r="Q45" s="23">
        <f>+SUM(D45:P45)</f>
        <v>618539782.90025377</v>
      </c>
    </row>
    <row r="46" spans="1:17">
      <c r="A46" s="18" t="s">
        <v>98</v>
      </c>
      <c r="D46" s="27">
        <f>+D45/$Q$45</f>
        <v>0.30116882332974659</v>
      </c>
      <c r="E46" s="27">
        <f t="shared" ref="E46:Q46" si="18">+E45/$Q$45</f>
        <v>0.27308801441052616</v>
      </c>
      <c r="F46" s="27">
        <f t="shared" si="18"/>
        <v>9.5206078346036283E-2</v>
      </c>
      <c r="G46" s="27">
        <f t="shared" si="18"/>
        <v>3.4423539098755781E-3</v>
      </c>
      <c r="H46" s="27">
        <f t="shared" si="18"/>
        <v>0.1865026150386884</v>
      </c>
      <c r="I46" s="27">
        <f t="shared" si="18"/>
        <v>7.8985304480445537E-3</v>
      </c>
      <c r="J46" s="27">
        <f t="shared" si="18"/>
        <v>2.3787268191092551E-4</v>
      </c>
      <c r="K46" s="27">
        <f t="shared" si="18"/>
        <v>6.7738227079350722E-4</v>
      </c>
      <c r="L46" s="27">
        <f t="shared" si="18"/>
        <v>6.2248710700335982E-2</v>
      </c>
      <c r="M46" s="27">
        <f t="shared" si="18"/>
        <v>5.3919249788519702E-4</v>
      </c>
      <c r="N46" s="27">
        <f t="shared" si="18"/>
        <v>1.0065233815037607E-2</v>
      </c>
      <c r="O46" s="27">
        <f t="shared" si="18"/>
        <v>3.6267132630958564E-2</v>
      </c>
      <c r="P46" s="27">
        <f t="shared" si="18"/>
        <v>2.2658059920160685E-2</v>
      </c>
      <c r="Q46" s="27">
        <f t="shared" si="18"/>
        <v>1</v>
      </c>
    </row>
    <row r="47" spans="1:17">
      <c r="D47" s="24"/>
      <c r="E47" s="24"/>
      <c r="F47" s="24"/>
      <c r="G47" s="24"/>
      <c r="H47" s="24"/>
      <c r="I47" s="24"/>
      <c r="J47" s="24"/>
      <c r="K47" s="24"/>
      <c r="L47" s="24"/>
      <c r="M47" s="24"/>
      <c r="N47" s="24"/>
      <c r="O47" s="24"/>
      <c r="P47" s="24"/>
      <c r="Q47" s="24"/>
    </row>
    <row r="48" spans="1:17">
      <c r="A48" s="18" t="s">
        <v>99</v>
      </c>
      <c r="D48" s="28">
        <v>7440736.6921925247</v>
      </c>
      <c r="E48" s="28">
        <v>6763564.6657148562</v>
      </c>
      <c r="F48" s="28">
        <v>2392542.4985719612</v>
      </c>
      <c r="G48" s="28">
        <v>93423.615124932985</v>
      </c>
      <c r="H48" s="28">
        <v>4708615.6085680192</v>
      </c>
      <c r="I48" s="28">
        <v>203875.87225348162</v>
      </c>
      <c r="J48" s="28">
        <v>6029.7534470799992</v>
      </c>
      <c r="K48" s="28">
        <v>18438.281130499996</v>
      </c>
      <c r="L48" s="28">
        <v>1535353.1800103185</v>
      </c>
      <c r="M48" s="28">
        <v>13333.178131319199</v>
      </c>
      <c r="N48" s="28">
        <v>255617.82715324115</v>
      </c>
      <c r="O48" s="28">
        <v>939584.17847139225</v>
      </c>
      <c r="P48" s="28">
        <v>586437.23700817476</v>
      </c>
      <c r="Q48" s="28">
        <f>SUM(D48:P48)</f>
        <v>24957552.587777801</v>
      </c>
    </row>
    <row r="50" spans="1:17">
      <c r="A50" s="18" t="s">
        <v>100</v>
      </c>
      <c r="D50" s="29">
        <f>+D45/D48</f>
        <v>25.035813832005751</v>
      </c>
      <c r="E50" s="29">
        <f t="shared" ref="E50:Q50" si="19">+E45/E48</f>
        <v>24.97437512535339</v>
      </c>
      <c r="F50" s="29">
        <f t="shared" si="19"/>
        <v>24.613459140680181</v>
      </c>
      <c r="G50" s="29">
        <f t="shared" si="19"/>
        <v>22.791162996988628</v>
      </c>
      <c r="H50" s="29">
        <f t="shared" si="19"/>
        <v>24.499618700334494</v>
      </c>
      <c r="I50" s="29">
        <f t="shared" si="19"/>
        <v>23.963381515249857</v>
      </c>
      <c r="J50" s="29">
        <f t="shared" si="19"/>
        <v>24.401282460120612</v>
      </c>
      <c r="K50" s="29">
        <f t="shared" si="19"/>
        <v>22.723803794488248</v>
      </c>
      <c r="L50" s="29">
        <f t="shared" si="19"/>
        <v>25.077815647698568</v>
      </c>
      <c r="M50" s="29">
        <f t="shared" si="19"/>
        <v>25.013691956904598</v>
      </c>
      <c r="N50" s="29">
        <f t="shared" si="19"/>
        <v>24.355686018179636</v>
      </c>
      <c r="O50" s="29">
        <f t="shared" si="19"/>
        <v>23.875098003952644</v>
      </c>
      <c r="P50" s="29">
        <f t="shared" si="19"/>
        <v>23.89839965732218</v>
      </c>
      <c r="Q50" s="29">
        <f t="shared" si="19"/>
        <v>24.783671424703908</v>
      </c>
    </row>
    <row r="51" spans="1:17">
      <c r="A51" s="18" t="s">
        <v>101</v>
      </c>
      <c r="D51" s="30">
        <f>+D50/$Q$50-1</f>
        <v>1.0173731041742018E-2</v>
      </c>
      <c r="E51" s="30">
        <f t="shared" ref="E51:P51" si="20">+E50/$Q$50-1</f>
        <v>7.6947316392919074E-3</v>
      </c>
      <c r="F51" s="30">
        <f t="shared" si="20"/>
        <v>-6.8679204588736331E-3</v>
      </c>
      <c r="G51" s="30">
        <f t="shared" si="20"/>
        <v>-8.0396015326816506E-2</v>
      </c>
      <c r="H51" s="30">
        <f t="shared" si="20"/>
        <v>-1.1461285113967157E-2</v>
      </c>
      <c r="I51" s="30">
        <f t="shared" si="20"/>
        <v>-3.3097998089032132E-2</v>
      </c>
      <c r="J51" s="30">
        <f t="shared" si="20"/>
        <v>-1.5429068519772993E-2</v>
      </c>
      <c r="K51" s="30">
        <f t="shared" si="20"/>
        <v>-8.3113901686189262E-2</v>
      </c>
      <c r="L51" s="30">
        <f t="shared" si="20"/>
        <v>1.1868468474830696E-2</v>
      </c>
      <c r="M51" s="30">
        <f t="shared" si="20"/>
        <v>9.2811322527222018E-3</v>
      </c>
      <c r="N51" s="30">
        <f t="shared" si="20"/>
        <v>-1.7268846055538911E-2</v>
      </c>
      <c r="O51" s="30">
        <f t="shared" si="20"/>
        <v>-3.6660162458642565E-2</v>
      </c>
      <c r="P51" s="30">
        <f t="shared" si="20"/>
        <v>-3.5719960622916602E-2</v>
      </c>
    </row>
    <row r="53" spans="1:17">
      <c r="A53" s="18" t="s">
        <v>102</v>
      </c>
      <c r="D53" s="31"/>
      <c r="E53" s="31"/>
      <c r="F53" s="31"/>
      <c r="G53" s="31"/>
      <c r="H53" s="31"/>
      <c r="I53" s="31"/>
      <c r="J53" s="31"/>
      <c r="K53" s="31"/>
      <c r="L53" s="31"/>
      <c r="M53" s="31"/>
      <c r="N53" s="31"/>
      <c r="O53" s="31"/>
      <c r="P53" s="31"/>
    </row>
    <row r="54" spans="1:17">
      <c r="A54" s="18" t="s">
        <v>0</v>
      </c>
      <c r="D54" s="31"/>
      <c r="E54" s="31"/>
      <c r="F54" s="31"/>
      <c r="G54" s="31"/>
      <c r="H54" s="31"/>
      <c r="I54" s="31"/>
      <c r="J54" s="31"/>
      <c r="K54" s="31"/>
      <c r="L54" s="31"/>
      <c r="M54" s="31"/>
      <c r="N54" s="31"/>
      <c r="O54" s="31"/>
      <c r="P54" s="31"/>
    </row>
    <row r="55" spans="1:17">
      <c r="A55" s="18" t="s">
        <v>1</v>
      </c>
      <c r="D55" s="31"/>
      <c r="E55" s="31"/>
      <c r="F55" s="31"/>
      <c r="G55" s="31"/>
      <c r="H55" s="31"/>
      <c r="I55" s="31"/>
      <c r="J55" s="31"/>
      <c r="K55" s="31"/>
      <c r="L55" s="31"/>
      <c r="M55" s="31"/>
      <c r="N55" s="31"/>
      <c r="O55" s="31"/>
      <c r="P55" s="31"/>
    </row>
    <row r="56" spans="1:17">
      <c r="D56" s="31"/>
      <c r="E56" s="31"/>
      <c r="F56" s="31"/>
      <c r="G56" s="31"/>
      <c r="H56" s="31"/>
      <c r="I56" s="31"/>
      <c r="J56" s="31"/>
      <c r="K56" s="31"/>
      <c r="L56" s="31"/>
      <c r="M56" s="31"/>
      <c r="N56" s="31"/>
      <c r="O56" s="31"/>
      <c r="P56" s="31"/>
    </row>
    <row r="57" spans="1:17">
      <c r="A57" s="18" t="s">
        <v>2</v>
      </c>
      <c r="D57" s="31"/>
      <c r="E57" s="31"/>
      <c r="F57" s="31"/>
      <c r="G57" s="31"/>
      <c r="H57" s="31"/>
      <c r="I57" s="31"/>
      <c r="J57" s="31"/>
      <c r="K57" s="31"/>
      <c r="L57" s="31"/>
      <c r="M57" s="31"/>
      <c r="N57" s="31"/>
      <c r="O57" s="31"/>
      <c r="P57" s="31"/>
    </row>
    <row r="58" spans="1:17">
      <c r="D58" s="31"/>
      <c r="E58" s="31"/>
      <c r="F58" s="31"/>
      <c r="G58" s="31"/>
      <c r="H58" s="31"/>
      <c r="I58" s="31"/>
      <c r="J58" s="31"/>
      <c r="K58" s="31"/>
      <c r="L58" s="31"/>
      <c r="M58" s="31"/>
      <c r="N58" s="31"/>
      <c r="O58" s="31"/>
      <c r="P58" s="31"/>
    </row>
    <row r="59" spans="1:17">
      <c r="D59" s="31"/>
      <c r="E59" s="31"/>
      <c r="F59" s="31"/>
      <c r="G59" s="31"/>
      <c r="H59" s="31"/>
      <c r="I59" s="31"/>
      <c r="J59" s="31"/>
      <c r="K59" s="31"/>
      <c r="L59" s="31"/>
      <c r="M59" s="31"/>
      <c r="N59" s="31"/>
      <c r="O59" s="31"/>
      <c r="P59" s="31"/>
    </row>
    <row r="60" spans="1:17">
      <c r="D60" s="31"/>
      <c r="E60" s="31"/>
      <c r="F60" s="31"/>
      <c r="G60" s="31"/>
      <c r="H60" s="31"/>
      <c r="I60" s="31"/>
      <c r="J60" s="31"/>
      <c r="K60" s="31"/>
      <c r="L60" s="31"/>
      <c r="M60" s="31"/>
      <c r="N60" s="31"/>
      <c r="O60" s="31"/>
      <c r="P60" s="31"/>
    </row>
    <row r="61" spans="1:17">
      <c r="D61" s="31"/>
      <c r="E61" s="31"/>
      <c r="F61" s="31"/>
      <c r="G61" s="31"/>
      <c r="H61" s="31"/>
      <c r="I61" s="31"/>
      <c r="J61" s="31"/>
      <c r="K61" s="31"/>
      <c r="L61" s="31"/>
      <c r="M61" s="31"/>
      <c r="N61" s="31"/>
      <c r="O61" s="31"/>
      <c r="P61" s="31"/>
    </row>
  </sheetData>
  <mergeCells count="4">
    <mergeCell ref="A1:Q1"/>
    <mergeCell ref="A2:Q2"/>
    <mergeCell ref="A3:Q3"/>
    <mergeCell ref="A4:Q4"/>
  </mergeCells>
  <phoneticPr fontId="23" type="noConversion"/>
  <printOptions horizontalCentered="1"/>
  <pageMargins left="1" right="1" top="1.5" bottom="0.75" header="0.75" footer="0.3"/>
  <pageSetup scale="51" orientation="landscape"/>
  <headerFooter>
    <oddHeader>&amp;R&amp;"Times New Roman,Bold"&amp;8Utah Association of Energy Users _x000D_UAE Exhibit 1R.1 (KCH-1)_x000D_Docket No. 11-035-T10_x000D_Witness:  Kevin C. Higgins_x000D_Page 2 of 2</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UAE Exhibit KCH-1, p. 1</vt:lpstr>
      <vt:lpstr>UAE Exhibit KCH-1, p.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ntownsend</dc:creator>
  <cp:lastModifiedBy> </cp:lastModifiedBy>
  <cp:lastPrinted>2012-03-15T19:47:08Z</cp:lastPrinted>
  <dcterms:created xsi:type="dcterms:W3CDTF">2012-03-15T18:09:22Z</dcterms:created>
  <dcterms:modified xsi:type="dcterms:W3CDTF">2012-03-16T18:28:30Z</dcterms:modified>
</cp:coreProperties>
</file>