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15" activeTab="2"/>
  </bookViews>
  <sheets>
    <sheet name="Base Forecast" sheetId="1" r:id="rId1"/>
    <sheet name="Utah Spike" sheetId="2" r:id="rId2"/>
    <sheet name="EBA" sheetId="3" r:id="rId3"/>
    <sheet name="Cost minus Revenue" sheetId="4" r:id="rId4"/>
    <sheet name="Graph of Difference in Utah NPC" sheetId="5" r:id="rId5"/>
  </sheets>
  <externalReferences>
    <externalReference r:id="rId8"/>
  </externalReferences>
  <definedNames>
    <definedName name="_Order1" hidden="1">255</definedName>
    <definedName name="_Order2" hidden="1">0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INT" localSheetId="3">'[1]EBA'!$C$53</definedName>
    <definedName name="INT">'EBA'!#REF!</definedName>
    <definedName name="j1" localSheetId="3" hidden="1">{"PRINT",#N/A,TRUE,"APPA";"PRINT",#N/A,TRUE,"APS";"PRINT",#N/A,TRUE,"BHPL";"PRINT",#N/A,TRUE,"BHPL2";"PRINT",#N/A,TRUE,"CDWR";"PRINT",#N/A,TRUE,"EWEB";"PRINT",#N/A,TRUE,"LADWP";"PRINT",#N/A,TRUE,"NEVBASE"}</definedName>
    <definedName name="j1" hidden="1">{"PRINT",#N/A,TRUE,"APPA";"PRINT",#N/A,TRUE,"APS";"PRINT",#N/A,TRUE,"BHPL";"PRINT",#N/A,TRUE,"BHPL2";"PRINT",#N/A,TRUE,"CDWR";"PRINT",#N/A,TRUE,"EWEB";"PRINT",#N/A,TRUE,"LADWP";"PRINT",#N/A,TRUE,"NEVBASE"}</definedName>
    <definedName name="j2" localSheetId="3" hidden="1">{"PRINT",#N/A,TRUE,"APPA";"PRINT",#N/A,TRUE,"APS";"PRINT",#N/A,TRUE,"BHPL";"PRINT",#N/A,TRUE,"BHPL2";"PRINT",#N/A,TRUE,"CDWR";"PRINT",#N/A,TRUE,"EWEB";"PRINT",#N/A,TRUE,"LADWP";"PRINT",#N/A,TRUE,"NEVBASE"}</definedName>
    <definedName name="j2" hidden="1">{"PRINT",#N/A,TRUE,"APPA";"PRINT",#N/A,TRUE,"APS";"PRINT",#N/A,TRUE,"BHPL";"PRINT",#N/A,TRUE,"BHPL2";"PRINT",#N/A,TRUE,"CDWR";"PRINT",#N/A,TRUE,"EWEB";"PRINT",#N/A,TRUE,"LADWP";"PRINT",#N/A,TRUE,"NEVBASE"}</definedName>
    <definedName name="j3" localSheetId="3" hidden="1">{"PRINT",#N/A,TRUE,"APPA";"PRINT",#N/A,TRUE,"APS";"PRINT",#N/A,TRUE,"BHPL";"PRINT",#N/A,TRUE,"BHPL2";"PRINT",#N/A,TRUE,"CDWR";"PRINT",#N/A,TRUE,"EWEB";"PRINT",#N/A,TRUE,"LADWP";"PRINT",#N/A,TRUE,"NEVBASE"}</definedName>
    <definedName name="j3" hidden="1">{"PRINT",#N/A,TRUE,"APPA";"PRINT",#N/A,TRUE,"APS";"PRINT",#N/A,TRUE,"BHPL";"PRINT",#N/A,TRUE,"BHPL2";"PRINT",#N/A,TRUE,"CDWR";"PRINT",#N/A,TRUE,"EWEB";"PRINT",#N/A,TRUE,"LADWP";"PRINT",#N/A,TRUE,"NEVBASE"}</definedName>
    <definedName name="j4" localSheetId="3" hidden="1">{"PRINT",#N/A,TRUE,"APPA";"PRINT",#N/A,TRUE,"APS";"PRINT",#N/A,TRUE,"BHPL";"PRINT",#N/A,TRUE,"BHPL2";"PRINT",#N/A,TRUE,"CDWR";"PRINT",#N/A,TRUE,"EWEB";"PRINT",#N/A,TRUE,"LADWP";"PRINT",#N/A,TRUE,"NEVBASE"}</definedName>
    <definedName name="j4" hidden="1">{"PRINT",#N/A,TRUE,"APPA";"PRINT",#N/A,TRUE,"APS";"PRINT",#N/A,TRUE,"BHPL";"PRINT",#N/A,TRUE,"BHPL2";"PRINT",#N/A,TRUE,"CDWR";"PRINT",#N/A,TRUE,"EWEB";"PRINT",#N/A,TRUE,"LADWP";"PRINT",#N/A,TRUE,"NEVBASE"}</definedName>
    <definedName name="j5" localSheetId="3" hidden="1">{"PRINT",#N/A,TRUE,"APPA";"PRINT",#N/A,TRUE,"APS";"PRINT",#N/A,TRUE,"BHPL";"PRINT",#N/A,TRUE,"BHPL2";"PRINT",#N/A,TRUE,"CDWR";"PRINT",#N/A,TRUE,"EWEB";"PRINT",#N/A,TRUE,"LADWP";"PRINT",#N/A,TRUE,"NEVBASE"}</definedName>
    <definedName name="j5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Area" localSheetId="3">'Cost minus Revenue'!$Q$3:$S$29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fullCalcOnLoad="1"/>
</workbook>
</file>

<file path=xl/sharedStrings.xml><?xml version="1.0" encoding="utf-8"?>
<sst xmlns="http://schemas.openxmlformats.org/spreadsheetml/2006/main" count="1242" uniqueCount="421">
  <si>
    <t>Non-firm</t>
  </si>
  <si>
    <t>Sales for Resale  (Account 447)</t>
  </si>
  <si>
    <t>Purchased Power (Account 555)</t>
  </si>
  <si>
    <t>Seasonal Contracts</t>
  </si>
  <si>
    <t>BPA Regional Adjustments</t>
  </si>
  <si>
    <t>Natural Gas Consumed</t>
  </si>
  <si>
    <t>Simple Cycle Combustion Turbines</t>
  </si>
  <si>
    <t>Cholla/APS Exchange</t>
  </si>
  <si>
    <t>Miscellaneous Fuel Costs</t>
  </si>
  <si>
    <t>Net Power Cost</t>
  </si>
  <si>
    <t>Fuel Expense (Accounts 501, 503 and 547)</t>
  </si>
  <si>
    <t>Existing Firm PPL</t>
  </si>
  <si>
    <t>Existing Firm UPL</t>
  </si>
  <si>
    <t>Post-merger Firm</t>
  </si>
  <si>
    <t>Existing Firm Demand PPL</t>
  </si>
  <si>
    <t>Existing Firm Demand UPL</t>
  </si>
  <si>
    <t>Existing Firm Energy</t>
  </si>
  <si>
    <t>Secondary Purchases</t>
  </si>
  <si>
    <t>Wheeling (Account 565)</t>
  </si>
  <si>
    <t>Fuel Consumed - Coal</t>
  </si>
  <si>
    <t>Fuel Consumed - Gas</t>
  </si>
  <si>
    <t>Steam From Other Sources</t>
  </si>
  <si>
    <t>Total Fuel Expense</t>
  </si>
  <si>
    <t>Non-Firm</t>
  </si>
  <si>
    <t>Pacific Pre Merger</t>
  </si>
  <si>
    <t>Utah Pre Merger</t>
  </si>
  <si>
    <t>BPA Peak Purchase</t>
  </si>
  <si>
    <t>Pacific Capacity</t>
  </si>
  <si>
    <t>Mid Columbia</t>
  </si>
  <si>
    <t>Misc/Pacific</t>
  </si>
  <si>
    <t>QF by State PPL</t>
  </si>
  <si>
    <t>QF PPL Pre Merger</t>
  </si>
  <si>
    <t>QF PPL Post Merger</t>
  </si>
  <si>
    <t>Gemstate</t>
  </si>
  <si>
    <t>QF by State UPL</t>
  </si>
  <si>
    <t>QF UPL Pre Merger</t>
  </si>
  <si>
    <t>IPP Layoff</t>
  </si>
  <si>
    <t>QF UPL Post Merger</t>
  </si>
  <si>
    <t>Georgia-Pacific Camas</t>
  </si>
  <si>
    <t>Kennecott Generation Incentive</t>
  </si>
  <si>
    <t>Morgan Stanley p272153-6-8</t>
  </si>
  <si>
    <t>Morgan Stanley p272154-7</t>
  </si>
  <si>
    <t>Currant Creek</t>
  </si>
  <si>
    <t>Short Term Firm Purchases</t>
  </si>
  <si>
    <t>Carbon</t>
  </si>
  <si>
    <t>Cholla</t>
  </si>
  <si>
    <t>Colstrip</t>
  </si>
  <si>
    <t>Craig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</si>
  <si>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</si>
  <si>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</si>
  <si>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</si>
  <si>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</si>
  <si>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</si>
  <si>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</si>
  <si>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</si>
  <si>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</si>
  <si>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</t>
  </si>
  <si>
    <t>Little Mountain</t>
  </si>
  <si>
    <t>Naughton</t>
  </si>
  <si>
    <t>Wyodak</t>
  </si>
  <si>
    <t>Blundell</t>
  </si>
  <si>
    <t>SG</t>
  </si>
  <si>
    <t>Post-Merger Firm</t>
  </si>
  <si>
    <t>SE</t>
  </si>
  <si>
    <t>Short Term Firm Sales</t>
  </si>
  <si>
    <t>System Balancing Sales</t>
  </si>
  <si>
    <t>Small Purchases east</t>
  </si>
  <si>
    <t>QF California</t>
  </si>
  <si>
    <t>QF Idaho</t>
  </si>
  <si>
    <t>QF Oregon</t>
  </si>
  <si>
    <t>QF Utah</t>
  </si>
  <si>
    <t>QF Washington</t>
  </si>
  <si>
    <t>QF Wyoming</t>
  </si>
  <si>
    <t>US Magnesium QF</t>
  </si>
  <si>
    <t>Grant Reasonable</t>
  </si>
  <si>
    <t>APS Exchange</t>
  </si>
  <si>
    <t>Black Hills CTs</t>
  </si>
  <si>
    <t>Total Short Term Firm Purchases</t>
  </si>
  <si>
    <t>System Balancing Purchases</t>
  </si>
  <si>
    <t>Total System Balancing Purchases</t>
  </si>
  <si>
    <t>Firm Wheeling</t>
  </si>
  <si>
    <t>ST Firm &amp; Non-Firm</t>
  </si>
  <si>
    <t>Total Wheeling &amp; U. of F. Expense</t>
  </si>
  <si>
    <t>S</t>
  </si>
  <si>
    <t>Seasonal Purchased Power</t>
  </si>
  <si>
    <t>CT</t>
  </si>
  <si>
    <t>Thermal Gas</t>
  </si>
  <si>
    <t>Wind Integration Charge</t>
  </si>
  <si>
    <t>Wind Integration</t>
  </si>
  <si>
    <t>Pre-Merger Firm PPL</t>
  </si>
  <si>
    <t>Pre-Merger Firm UPL</t>
  </si>
  <si>
    <t>PPL QF</t>
  </si>
  <si>
    <t>UPL QF</t>
  </si>
  <si>
    <t>Gas Swaps</t>
  </si>
  <si>
    <t>Pipeline Reservation Fees</t>
  </si>
  <si>
    <t>Special Sales For Resale</t>
  </si>
  <si>
    <t>Long Term Firm Sales</t>
  </si>
  <si>
    <t>Black Hills s27013/s28160</t>
  </si>
  <si>
    <t xml:space="preserve">BPA Wind s42818 </t>
  </si>
  <si>
    <t xml:space="preserve">Hurricane Sale s393046 </t>
  </si>
  <si>
    <t xml:space="preserve">LADWP (IPP Layoff) </t>
  </si>
  <si>
    <t xml:space="preserve">NVE s811499 </t>
  </si>
  <si>
    <t xml:space="preserve">Pacific Gas &amp; Electric s524491 </t>
  </si>
  <si>
    <t xml:space="preserve">PSCO s100035 </t>
  </si>
  <si>
    <t xml:space="preserve">SCE s513948 </t>
  </si>
  <si>
    <t xml:space="preserve">SMUD s24296 </t>
  </si>
  <si>
    <t xml:space="preserve">UMPA II s45631 </t>
  </si>
  <si>
    <t xml:space="preserve">Total Long Term Firm Sales </t>
  </si>
  <si>
    <t xml:space="preserve">COB </t>
  </si>
  <si>
    <t xml:space="preserve">Four Corners </t>
  </si>
  <si>
    <t xml:space="preserve">Mid Columbia </t>
  </si>
  <si>
    <t xml:space="preserve">Mona </t>
  </si>
  <si>
    <t xml:space="preserve">Palo Verde </t>
  </si>
  <si>
    <t xml:space="preserve">Total Short Term Firm Sales </t>
  </si>
  <si>
    <t xml:space="preserve">Total System Balancing Sales </t>
  </si>
  <si>
    <t xml:space="preserve">Total Special Sales For Resale </t>
  </si>
  <si>
    <t>West Main</t>
  </si>
  <si>
    <t>STF Index Trades</t>
  </si>
  <si>
    <t>SP15</t>
  </si>
  <si>
    <t>Trapped Energy</t>
  </si>
  <si>
    <t>7/11 - 6/12</t>
  </si>
  <si>
    <t>Jul 11</t>
  </si>
  <si>
    <t>Aug 11</t>
  </si>
  <si>
    <t>Sep 11</t>
  </si>
  <si>
    <t>Oct 11</t>
  </si>
  <si>
    <t>Nov 11</t>
  </si>
  <si>
    <t>Dec 11</t>
  </si>
  <si>
    <t>Jan 12</t>
  </si>
  <si>
    <t>Feb 12</t>
  </si>
  <si>
    <t>Mar 12</t>
  </si>
  <si>
    <t>Apr 12</t>
  </si>
  <si>
    <t>May 12</t>
  </si>
  <si>
    <t>Jun 12</t>
  </si>
  <si>
    <t>NPC Component</t>
  </si>
  <si>
    <t>Purchased Power &amp; Net Interchange</t>
  </si>
  <si>
    <t>Long Term Firm Purchases</t>
  </si>
  <si>
    <t>APS Supplemental p27875</t>
  </si>
  <si>
    <t>Blanding Purchase p379174</t>
  </si>
  <si>
    <t>BPA Reserve Purchase</t>
  </si>
  <si>
    <t>Combine Hills Wind p160595</t>
  </si>
  <si>
    <t>Deseret Purchase p194277</t>
  </si>
  <si>
    <t>Douglas PUD Settlement p38185</t>
  </si>
  <si>
    <t xml:space="preserve">Gemstate p99489 </t>
  </si>
  <si>
    <t>Grant County 10 aMW p66274</t>
  </si>
  <si>
    <t>Hermiston Purchase p99563</t>
  </si>
  <si>
    <t>Hurricane Purchase p393045</t>
  </si>
  <si>
    <t xml:space="preserve">IPP Purchase </t>
  </si>
  <si>
    <t>LADWP p491303-4</t>
  </si>
  <si>
    <t>MagCorp p229846</t>
  </si>
  <si>
    <t xml:space="preserve">MagCorp Reserves p510378 </t>
  </si>
  <si>
    <t xml:space="preserve">Nucor p346856 </t>
  </si>
  <si>
    <t>P4 Production p137215/p145258</t>
  </si>
  <si>
    <t xml:space="preserve">PGE Cove p83984 </t>
  </si>
  <si>
    <t xml:space="preserve">Rock River Wind p100371 </t>
  </si>
  <si>
    <t>Roseburg Forest Products p312292</t>
  </si>
  <si>
    <t xml:space="preserve">Small Purchases west </t>
  </si>
  <si>
    <t>Three Buttes Wind p460457</t>
  </si>
  <si>
    <t>Top of the World Wind p522807</t>
  </si>
  <si>
    <t>Tri-State Purchase p27057</t>
  </si>
  <si>
    <t>Wolverine Creek Wind p244520</t>
  </si>
  <si>
    <t xml:space="preserve">Long Term Firm Purchases Total </t>
  </si>
  <si>
    <t>Qualifying Facilities</t>
  </si>
  <si>
    <t>Mid-Columbia Contracts</t>
  </si>
  <si>
    <t>Biomass p234159 QF</t>
  </si>
  <si>
    <t>Chevron Wind p499335 QF</t>
  </si>
  <si>
    <t>Evergreen BioPower p351030 QF</t>
  </si>
  <si>
    <t>ExxonMobil p255042 QF</t>
  </si>
  <si>
    <t>Kennecott Refinery QF</t>
  </si>
  <si>
    <t>Kennecott Smelter QF</t>
  </si>
  <si>
    <t>Mountain Wind 1 p367721 QF</t>
  </si>
  <si>
    <t>Mountain Wind 2 p398449 QF</t>
  </si>
  <si>
    <t>Oregon Wind Farm QF</t>
  </si>
  <si>
    <t>Power County North Wind QF p575612</t>
  </si>
  <si>
    <t>Power County South Wind QF p575614</t>
  </si>
  <si>
    <t>SF Phosphates</t>
  </si>
  <si>
    <t>Spanish Fork Wind 2 p311681 QF</t>
  </si>
  <si>
    <t>Sunnyside p83997/p59965 QF</t>
  </si>
  <si>
    <t>Tesoro QF3,911</t>
  </si>
  <si>
    <t>Threemile Canyon Wind QF</t>
  </si>
  <si>
    <t>Qualifying Facilities Total</t>
  </si>
  <si>
    <t>Canadian Entitlement p60828</t>
  </si>
  <si>
    <t>Chelan - Rocky Reach p60827</t>
  </si>
  <si>
    <t>Douglas - Wells p60828</t>
  </si>
  <si>
    <t>Grant Displacement p270294</t>
  </si>
  <si>
    <t>Grant Surplus p258951</t>
  </si>
  <si>
    <t>Grant - Wanapum p60825</t>
  </si>
  <si>
    <t>Mid-Columbia Contracts Total</t>
  </si>
  <si>
    <t xml:space="preserve">Total Long Term Firm Purchases </t>
  </si>
  <si>
    <t>Pioneer Wind Park I Q</t>
  </si>
  <si>
    <t xml:space="preserve">Seasonal Purchased Power Total </t>
  </si>
  <si>
    <t>Storage &amp; Exchange</t>
  </si>
  <si>
    <t>BPA Exchange p64706/p64888</t>
  </si>
  <si>
    <t>BPA FC II Wind p63507</t>
  </si>
  <si>
    <t>BPA FC IV Wind p79207</t>
  </si>
  <si>
    <t>BPA Peaking p59820</t>
  </si>
  <si>
    <t>BPA So. Idaho p64885/p83975/p64705</t>
  </si>
  <si>
    <t>EWEB FC I p63508/p63510</t>
  </si>
  <si>
    <t>PSCo Exchange p340325</t>
  </si>
  <si>
    <t>PSCO FC III p63362/s63361</t>
  </si>
  <si>
    <t xml:space="preserve">Redding Exchange p66276 </t>
  </si>
  <si>
    <t>SCL State Line p105228</t>
  </si>
  <si>
    <t>Total Storage &amp; Exchange</t>
  </si>
  <si>
    <t>COB</t>
  </si>
  <si>
    <t>Four Corners</t>
  </si>
  <si>
    <t>Mona</t>
  </si>
  <si>
    <t>Palo Verde</t>
  </si>
  <si>
    <t>STF Electric Swaps</t>
  </si>
  <si>
    <t>Emergency Purchases</t>
  </si>
  <si>
    <t>Total Purchased Power &amp; Net Interchange</t>
  </si>
  <si>
    <t>Cowlitz Swift p65787</t>
  </si>
  <si>
    <t>Wheeling &amp; U. of F. Expense</t>
  </si>
  <si>
    <t>Coal Fuel Burn Expense</t>
  </si>
  <si>
    <t>Gas Fuel Burn Expense</t>
  </si>
  <si>
    <t>Other Generation</t>
  </si>
  <si>
    <t>Ramp Loss</t>
  </si>
  <si>
    <t>Total Coal Fuel Burn Expense</t>
  </si>
  <si>
    <t>Chehalis</t>
  </si>
  <si>
    <t>Total Gas Fuel Burn</t>
  </si>
  <si>
    <t xml:space="preserve">Gas Physical </t>
  </si>
  <si>
    <t xml:space="preserve">Clay Basin Gas Storage </t>
  </si>
  <si>
    <t>Total Gas Fuel Burn Expense</t>
  </si>
  <si>
    <t>Total Other Generation</t>
  </si>
  <si>
    <t>Douglas Co. Forest Products DCFP p316701 QF</t>
  </si>
  <si>
    <t>(Cholla)</t>
  </si>
  <si>
    <t>PP&amp;L Pre-Merger - Firm</t>
  </si>
  <si>
    <t>Pre-Merger UPL - Firm</t>
  </si>
  <si>
    <t xml:space="preserve">Demand-Related NPC </t>
  </si>
  <si>
    <t>Energy-Related NPC</t>
  </si>
  <si>
    <t>Pre-Merger Firm Energy</t>
  </si>
  <si>
    <t>Pre-Merger PP&amp;L Firm Demand</t>
  </si>
  <si>
    <t>Pre-Merger UP&amp;L Firm Demand</t>
  </si>
  <si>
    <t>Post Merger Firm</t>
  </si>
  <si>
    <t>Total Sales for Resale</t>
  </si>
  <si>
    <t>Total Purchased Power</t>
  </si>
  <si>
    <t>Total Wheeling Expense</t>
  </si>
  <si>
    <t>Allocation Factor</t>
  </si>
  <si>
    <t xml:space="preserve">     Demand</t>
  </si>
  <si>
    <t xml:space="preserve">     Energy</t>
  </si>
  <si>
    <t xml:space="preserve">     Pre-Merger</t>
  </si>
  <si>
    <t xml:space="preserve">     Post-Merger</t>
  </si>
  <si>
    <t>Utah Inter-Jurisdictional Allocation Factors</t>
  </si>
  <si>
    <t>System Energy</t>
  </si>
  <si>
    <t>Utah Firm Retail Energy</t>
  </si>
  <si>
    <t>System Firm Retail Energy</t>
  </si>
  <si>
    <t>= Exhibit B, p. 1,  column (e)</t>
  </si>
  <si>
    <t>Utah Allocation Scalar</t>
  </si>
  <si>
    <t>= Exhibit B, p. 1,  column (f)</t>
  </si>
  <si>
    <t>= Exhibit B, p. 1,  column (g)</t>
  </si>
  <si>
    <t>= Exhibit B, p. 1,  column (d)</t>
  </si>
  <si>
    <t>= Exhibit B, p. 1,  column (c)</t>
  </si>
  <si>
    <t>= Exhibit B, p. 1,  column (a)</t>
  </si>
  <si>
    <t>= Exhibit B, p. 1,  cell AB32</t>
  </si>
  <si>
    <t>= Exhibit B, p. 1,  cell AB35</t>
  </si>
  <si>
    <t>= Exhibit B, p. 1,  column (k)</t>
  </si>
  <si>
    <t>System Firm</t>
  </si>
  <si>
    <t>System Non-Firm</t>
  </si>
  <si>
    <t>Total System Wheeling Revenue</t>
  </si>
  <si>
    <t>Utah Firm</t>
  </si>
  <si>
    <t>Utah Non-Firm</t>
  </si>
  <si>
    <t>Total Utah Wheeling Revenue</t>
  </si>
  <si>
    <t>= Exhibit B, p. 1,  column (l)</t>
  </si>
  <si>
    <t>Utah Wheeling Revenue / Utah Firm Retail Energy</t>
  </si>
  <si>
    <t>= Exhibit B, p. 1,  column (m)</t>
  </si>
  <si>
    <t>= Exhibit B, p. 1,  column (i) = column (j)</t>
  </si>
  <si>
    <t>= Exhibit B, p. 1,  column (o)</t>
  </si>
  <si>
    <t>Net Power Cost less Wheeling Revenue</t>
  </si>
  <si>
    <t>Total EBA Rates (NPC less Wheeling Revenue)</t>
  </si>
  <si>
    <t>NPC Stipulation</t>
  </si>
  <si>
    <t>Percent Change</t>
  </si>
  <si>
    <t>Total Utah Net Power Cost</t>
  </si>
  <si>
    <t>Utah-Allocated NPC</t>
  </si>
  <si>
    <t>Stipulated Utah Net Power Cost Reduction</t>
  </si>
  <si>
    <t>Stipulated System Net Power Cost</t>
  </si>
  <si>
    <t>Total System NPC</t>
  </si>
  <si>
    <t xml:space="preserve">Demand-Related System NPC </t>
  </si>
  <si>
    <t>Energy-Related System NPC</t>
  </si>
  <si>
    <t>Stipulated System NPC</t>
  </si>
  <si>
    <t>Stipulated Utah NPC</t>
  </si>
  <si>
    <t>McDougal</t>
  </si>
  <si>
    <t>Steve McDougal</t>
  </si>
  <si>
    <t>Rebuttal, June 30, 2011</t>
  </si>
  <si>
    <t>Exh. B, p. 209, col. (7)</t>
  </si>
  <si>
    <t>(annual only)</t>
  </si>
  <si>
    <t>Total Utah NPC (GRC)</t>
  </si>
  <si>
    <t>Utah NPC / Utah Energy (GRC)</t>
  </si>
  <si>
    <t>System NPC / System Energy</t>
  </si>
  <si>
    <t>Stipulated Utah NPC (EBA)</t>
  </si>
  <si>
    <t>SYSTEM RESULTS</t>
  </si>
  <si>
    <t>UTAH RESULTS</t>
  </si>
  <si>
    <t>Short-Term Firm</t>
  </si>
  <si>
    <t>Total Wheeling</t>
  </si>
  <si>
    <t>Wheeling &amp; Use of Facilities (Hui Shu - Oct 17, 2011):</t>
  </si>
  <si>
    <t>Total Ramp Loss</t>
  </si>
  <si>
    <t>West Valley</t>
  </si>
  <si>
    <t>Total Fuel Cost Net Allocation</t>
  </si>
  <si>
    <t>(post-merger)</t>
  </si>
  <si>
    <t>Mid-Columbia - applied to Douglas PUD Settlement, Mid-C Contracts excl. Canadian Entitlement</t>
  </si>
  <si>
    <t>Misc/Pacific - applied to Grant Co, PGE Cove</t>
  </si>
  <si>
    <t>QF by State PPL - applied to CA, OR, WA</t>
  </si>
  <si>
    <t>QF PPL Pre Merger - applied to Biomass</t>
  </si>
  <si>
    <t>QF by State UPL - applied to ID, UT, WY</t>
  </si>
  <si>
    <t>Annual Classification Factors (Hui Shu - Oct 17, 2011):</t>
  </si>
  <si>
    <t>Pacific Capacity - applied to Black Hills CTs (Hui Shu - Oct 17, 2011)</t>
  </si>
  <si>
    <t>Fuel Cost Net Allocation (Hui Shu - Oct 17, 2011):</t>
  </si>
  <si>
    <t>Disaagregated by</t>
  </si>
  <si>
    <t>Check, Rounded: Greg N. Duvall Rebuttal, Exhibit RMP__(GND-1R), p. 5</t>
  </si>
  <si>
    <t>Coal Fuel Burn Expense including Allocation of Ramp Loss</t>
  </si>
  <si>
    <t>Gas Fuel Burn Expense including Fuel Cost Net Allocation</t>
  </si>
  <si>
    <t>Differnce</t>
  </si>
  <si>
    <t>Check</t>
  </si>
  <si>
    <t>Hui Shu, EBA Tech Conference response, Oct 17, 2011</t>
  </si>
  <si>
    <t>QF UPL Pre Merger Energy</t>
  </si>
  <si>
    <t>QF PPL Pre Merger Energy</t>
  </si>
  <si>
    <t>QF UPL Pre Merger - applied to Sunnyside</t>
  </si>
  <si>
    <t>Rnd'd Check</t>
  </si>
  <si>
    <t xml:space="preserve">California  </t>
  </si>
  <si>
    <t xml:space="preserve">Oregon  </t>
  </si>
  <si>
    <t xml:space="preserve">Washington  </t>
  </si>
  <si>
    <t xml:space="preserve">Wyoming  </t>
  </si>
  <si>
    <t xml:space="preserve">Utah  </t>
  </si>
  <si>
    <t xml:space="preserve">Idaho  </t>
  </si>
  <si>
    <t xml:space="preserve">FERC   </t>
  </si>
  <si>
    <t>Contribution to Firm System Retail Peak (Mw).</t>
  </si>
  <si>
    <t>Contribution to Firm System Retail Energy (Mwh).</t>
  </si>
  <si>
    <t>Total System Retail Peak</t>
  </si>
  <si>
    <t>Total System Retail Energy</t>
  </si>
  <si>
    <t>--- End of NPC Study Results ---</t>
  </si>
  <si>
    <t>--- End of Load Information ---</t>
  </si>
  <si>
    <t>--- End of Translating Format ---</t>
  </si>
  <si>
    <t>--- End of NPC Study in IJA Format ---</t>
  </si>
  <si>
    <t>1.  FORECAST RESULTS OF NPC STUDY; RMP'S REBUTTAL TESTIMONY, Greg N. Duvall Rebuttal, Exhibit RMP__(GND-1R).</t>
  </si>
  <si>
    <t>3. SCENARIO NPC RESULTS IN INTER-JURISDICTIONAL ALLOCATION FORMAT</t>
  </si>
  <si>
    <t>3. FORECAST NPC RESULTS IN INTER-JURISDICTIONAL ALLOCATION FORMAT</t>
  </si>
  <si>
    <t>4.  JURISDICTIONAL LOAD FORECAST, from RMP's Rebuttal Testimony, Steve McDougal Rebuttal, Exhibit RMP_(SRM-2R), Tab 11, p. 11.16-17.</t>
  </si>
  <si>
    <t>Stipulation proportionately changes monthly Demand-related and Energy-related System NPC</t>
  </si>
  <si>
    <t>Base System NPC</t>
  </si>
  <si>
    <t>Actual System NPC</t>
  </si>
  <si>
    <t>System Generation (75% Coincident Peaks, 25% Energy)</t>
  </si>
  <si>
    <t>Stipulation proportionately changes monthly Demand-related and Energy-related Utah-allocated NPC</t>
  </si>
  <si>
    <t>5.  FORECAST NET POWER COST IN GENERAL RATES</t>
  </si>
  <si>
    <t>--- End of NPC in General Rates ---</t>
  </si>
  <si>
    <t>a. NET POWER COST</t>
  </si>
  <si>
    <t>b. WHEELING REVENUES</t>
  </si>
  <si>
    <t>c. TOTAL RATES</t>
  </si>
  <si>
    <t>System Wheeling Revenue</t>
  </si>
  <si>
    <t>Utah-Allocated Wheeling Revenue</t>
  </si>
  <si>
    <t>Stipulated NPC / Energy</t>
  </si>
  <si>
    <t>Actual:</t>
  </si>
  <si>
    <t>Allocation of Ramp Loss (Hui Shu - Oct 17, 2011):</t>
  </si>
  <si>
    <t>= Exhibit B, p. 1,  column (n)</t>
  </si>
  <si>
    <t>= Exhibit B, p. 1,  column (h)</t>
  </si>
  <si>
    <t>Check, Scenario Study</t>
  </si>
  <si>
    <t>2.  TRANSLATING THE NPC STUDY FORMAT INTO THE INTER-JURISDICTIONAL ALLOCATION FORMAT, from Hui Shu, EBA Technical Conference response, October 17, 2011.</t>
  </si>
  <si>
    <t>2.  TRANSLATING THE NPC STUDY INTO THE INTER-JURISDICTIONAL ALLOCATION FORMAT, from Hui Shu, EBA Technical Conference response, October 17, 2011.</t>
  </si>
  <si>
    <t>Classification of some Purchase Contracts:</t>
  </si>
  <si>
    <t>4.  JURISDICTIONAL LOAD SCENARIO: 10% increase for 5 days in December for Oregon energy use; and using RMP's Rebuttal Testimony, Steve McDougal Rebuttal, Exhibit RMP_(SRM-2R), Tab 11, p. 11.16-17.</t>
  </si>
  <si>
    <t>Beginning Balance</t>
  </si>
  <si>
    <t>Incremental Deferral</t>
  </si>
  <si>
    <t>Interest</t>
  </si>
  <si>
    <t>Ending Balance ($)</t>
  </si>
  <si>
    <t>Forecast:</t>
  </si>
  <si>
    <t>Base:</t>
  </si>
  <si>
    <t>5.  ACTUAL SCENARIO NET POWER COST</t>
  </si>
  <si>
    <t>6.  BASE RATES IN ENERGY BALANCING ACCOUNT</t>
  </si>
  <si>
    <t>6.  ACTUAL RATES IN ENERGY BALANCING ACCOUNT</t>
  </si>
  <si>
    <t>End</t>
  </si>
  <si>
    <t>Annual</t>
  </si>
  <si>
    <t>GRC: Actual - Forecast Costs</t>
  </si>
  <si>
    <t>EBA: Actual - Base Costs</t>
  </si>
  <si>
    <t>EBA: Ending Balance</t>
  </si>
  <si>
    <t>1. Dynamic Factors &amp; Dynamic Scalar</t>
  </si>
  <si>
    <t>2. Dynamic Factors &amp; Fixed Scalar</t>
  </si>
  <si>
    <t>3. Fixed Factors &amp; Dynamic Scalar</t>
  </si>
  <si>
    <t>4. Fixed Factors &amp; Fixed Scalar</t>
  </si>
  <si>
    <t>Summary of Four Conditions</t>
  </si>
  <si>
    <t>Result ($)</t>
  </si>
  <si>
    <t>Difference from Base</t>
  </si>
  <si>
    <t>Annual Total</t>
  </si>
  <si>
    <t>1  = Dynamic</t>
  </si>
  <si>
    <t>0 = Fixed, Base</t>
  </si>
  <si>
    <t>10% increase in load of Utah transmission bubbles at system peak, 7/18/11, prior to adjusting for DSM, produces the following peak loads after the DSM adjustment.</t>
  </si>
  <si>
    <t>10% increase in loads of Utah transmission bubbles for five days, 7/18-22/11, prior to adjusting for DSM, produces the following energy loads after the DSM adjustment.</t>
  </si>
  <si>
    <t>1.  SCENARIO RESULTS OF NPC STUDY; 10% increase in July 18-22 loads for the five Utah transmission bubbles, including time of system peak; and using RMP'S REBUTTAL TESTIMONY, Greg N. Duvall Rebuttal, Exhibit RMP__(GND-1R).</t>
  </si>
  <si>
    <t>10% increase in July 18-22 loads for the five Utah</t>
  </si>
  <si>
    <t>10% increase in July 18-22 loads for the five Utah transmission bubbles, including system peak-hour</t>
  </si>
  <si>
    <t>transmission bubbles, including system peak-hour</t>
  </si>
  <si>
    <t>Average Cost</t>
  </si>
  <si>
    <t>less Wheeling Revenue</t>
  </si>
  <si>
    <t>MWh</t>
  </si>
  <si>
    <t>Average Net Power Cost</t>
  </si>
  <si>
    <t>less Average Wheeling Revenue</t>
  </si>
  <si>
    <t>Recovered:</t>
  </si>
  <si>
    <t>Ending Balance</t>
  </si>
  <si>
    <t>Net Power Cost &amp; Wheeling Revenue</t>
  </si>
  <si>
    <t>70% Balancing Account:</t>
  </si>
  <si>
    <t>Forecast Cost and Revenue</t>
  </si>
  <si>
    <t>Actual Cost</t>
  </si>
  <si>
    <t>Actual Revenue</t>
  </si>
  <si>
    <t>Actual Cost - Actual Revenue</t>
  </si>
  <si>
    <t>GRC Forecast &amp; March EBA Order "Utah Allocated" Method</t>
  </si>
  <si>
    <t>GRC Stipulated EBA calculation "Utah Scalar" method</t>
  </si>
  <si>
    <t>Base Cost and Revenue</t>
  </si>
  <si>
    <r>
      <rPr>
        <b/>
        <sz val="8"/>
        <color indexed="10"/>
        <rFont val="Arial"/>
        <family val="2"/>
      </rPr>
      <t>(Over)</t>
    </r>
    <r>
      <rPr>
        <b/>
        <sz val="8"/>
        <rFont val="Arial"/>
        <family val="2"/>
      </rPr>
      <t>/Under recovery</t>
    </r>
  </si>
  <si>
    <r>
      <rPr>
        <b/>
        <sz val="8"/>
        <color indexed="10"/>
        <rFont val="Arial"/>
        <family val="2"/>
      </rPr>
      <t>(Over)</t>
    </r>
    <r>
      <rPr>
        <b/>
        <sz val="8"/>
        <rFont val="Arial"/>
        <family val="2"/>
      </rPr>
      <t>/Under Recovery:</t>
    </r>
  </si>
  <si>
    <t>Balancing Account:</t>
  </si>
  <si>
    <t>transmission bubbles, including the system peak-hour</t>
  </si>
  <si>
    <t>BALANCING ACCOUNT- Stipulation Scalar Method</t>
  </si>
  <si>
    <t>BALANCING ACCOUNT - GRC/March EBA Order/Allocated Method</t>
  </si>
  <si>
    <t xml:space="preserve"> Actual Cost - Actual Revenue</t>
  </si>
  <si>
    <t>Utah Actual Revenue</t>
  </si>
  <si>
    <t>Utah Actual Cost</t>
  </si>
  <si>
    <t>Utah Forecast Cost and Revenue</t>
  </si>
  <si>
    <t>IN BALANCING ACCOUNT PER STIPULATION</t>
  </si>
  <si>
    <t>NET POWER COSTS &amp; WHEELING</t>
  </si>
  <si>
    <t>IN GENERAL RATES</t>
  </si>
  <si>
    <t>$2.3 million increase in system net power costs</t>
  </si>
  <si>
    <t>$2.1 million increase in system net power costs</t>
  </si>
  <si>
    <t>GRC: Ending Balance</t>
  </si>
  <si>
    <t>Stipulated Utah NPC Reduction</t>
  </si>
  <si>
    <t>Stipulated System NPC Reduction</t>
  </si>
  <si>
    <t>Utah Base EBA Cost and Revenue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</si>
</sst>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0.0"/>
    <numFmt numFmtId="168" formatCode="&quot;$&quot;###0;[Red]\(&quot;$&quot;###0\)"/>
    <numFmt numFmtId="169" formatCode="&quot;$&quot;#,##0\ ;\(&quot;$&quot;#,##0\)"/>
    <numFmt numFmtId="170" formatCode="_-* #,##0\ &quot;F&quot;_-;\-* #,##0\ &quot;F&quot;_-;_-* &quot;-&quot;\ &quot;F&quot;_-;_-@_-"/>
    <numFmt numFmtId="171" formatCode="#,##0.000;[Red]\-#,##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  <numFmt numFmtId="175" formatCode="0.000%"/>
    <numFmt numFmtId="176" formatCode="&quot;$&quot;#,##0.000_);\(&quot;$&quot;#,##0.000\)"/>
    <numFmt numFmtId="177" formatCode="#,##0.000_);\(#,##0.000\)"/>
    <numFmt numFmtId="178" formatCode="#,##0;\-#,##0;&quot;-&quot;"/>
    <numFmt numFmtId="179" formatCode="_(* #,##0.00_);[Red]_(* \(#,##0.00\);_(* &quot;-&quot;??_);_(@_)"/>
    <numFmt numFmtId="180" formatCode="mmmm\ d\,\ yyyy"/>
    <numFmt numFmtId="181" formatCode="########\-###\-###"/>
    <numFmt numFmtId="182" formatCode="_(* #,##0_);[Red]_(* \(#,##0\);_(* &quot;-&quot;_);_(@_)"/>
    <numFmt numFmtId="183" formatCode="#,##0.0_);\(#,##0.0\);\-\ ;"/>
    <numFmt numFmtId="184" formatCode="#,##0.0000"/>
    <numFmt numFmtId="185" formatCode="mmm\ dd\,\ yyyy"/>
    <numFmt numFmtId="186" formatCode="General_)"/>
    <numFmt numFmtId="187" formatCode="#,##0.000_);[Red]\(#,##0.000\)"/>
    <numFmt numFmtId="188" formatCode="&quot;$&quot;#,##0.000_);[Red]\(&quot;$&quot;#,##0.000\)"/>
    <numFmt numFmtId="189" formatCode="0.00000%"/>
    <numFmt numFmtId="190" formatCode="0.000000%"/>
    <numFmt numFmtId="191" formatCode="_(* #,##0.00000000_);_(* \(#,##0.00000000\);_(* &quot;-&quot;_);_(@_)"/>
    <numFmt numFmtId="192" formatCode="_(* #,##0.000_);_(* \(#,##0.000\);_(* &quot;-&quot;???_);_(@_)"/>
    <numFmt numFmtId="193" formatCode="\$#,##0_);[Red]\(\$#,##0\)"/>
    <numFmt numFmtId="194" formatCode="m/d/yy\ h:mm\ AM/PM"/>
    <numFmt numFmtId="195" formatCode="_(* #,##0_);_(* \(#,##0\);_(* &quot;-&quot;???_);_(@_)"/>
    <numFmt numFmtId="196" formatCode="_(* #,##0.0000_);_(* \(#,##0.0000\);_(* &quot;-&quot;_);_(@_)"/>
    <numFmt numFmtId="197" formatCode="#,##0.0_);[Red]\(#,##0.0\)"/>
    <numFmt numFmtId="198" formatCode="#,##0.0000_);[Red]\(#,##0.0000\)"/>
    <numFmt numFmtId="199" formatCode="#,##0.00000_);[Red]\(#,##0.00000\)"/>
    <numFmt numFmtId="200" formatCode="#,##0.000000_);[Red]\(#,##0.000000\)"/>
    <numFmt numFmtId="201" formatCode="#,##0.0000000_);[Red]\(#,##0.0000000\)"/>
    <numFmt numFmtId="202" formatCode="_(* #,##0.0_);_(* \(#,##0.0\);_(* &quot;-&quot;?_);_(@_)"/>
    <numFmt numFmtId="203" formatCode="#,##0.00000000_);[Red]\(#,##0.00000000\)"/>
    <numFmt numFmtId="204" formatCode="#,##0.000000000_);[Red]\(#,##0.000000000\)"/>
    <numFmt numFmtId="205" formatCode="_(* #,##0.00000000_);_(* \(#,##0.00000000\);_(* &quot;-&quot;????????_);_(@_)"/>
    <numFmt numFmtId="206" formatCode="&quot;$&quot;#,##0.0_);\(&quot;$&quot;#,##0.0\)"/>
    <numFmt numFmtId="207" formatCode="_(* #,##0.0000_);_(* \(#,##0.0000\);_(* &quot;-&quot;????_);_(@_)"/>
    <numFmt numFmtId="208" formatCode="&quot;$&quot;#,##0.0000_);\(&quot;$&quot;#,##0.0000\)"/>
    <numFmt numFmtId="209" formatCode="_(* #,##0.00000000000_);_(* \(#,##0.00000000000\);_(* &quot;-&quot;???????????_);_(@_)"/>
    <numFmt numFmtId="210" formatCode="#,##0.0_);\(#,##0.0\)"/>
    <numFmt numFmtId="211" formatCode="_(&quot;$&quot;* #,##0.0_);_(&quot;$&quot;* \(#,##0.0\);_(&quot;$&quot;* &quot;-&quot;??_);_(@_)"/>
    <numFmt numFmtId="212" formatCode="_(&quot;$&quot;* #,##0_);_(&quot;$&quot;* \(#,##0\);_(&quot;$&quot;* &quot;-&quot;??_);_(@_)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10"/>
      <color indexed="24"/>
      <name val="Courier New"/>
      <family val="3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u val="single"/>
      <sz val="10"/>
      <color indexed="12"/>
      <name val="MS Sans Serif"/>
      <family val="2"/>
    </font>
    <font>
      <b/>
      <i/>
      <sz val="8"/>
      <color indexed="18"/>
      <name val="Helv"/>
      <family val="0"/>
    </font>
    <font>
      <sz val="12"/>
      <name val="Times New Roman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  <family val="0"/>
    </font>
    <font>
      <sz val="10"/>
      <color indexed="8"/>
      <name val="Times New Roman"/>
      <family val="2"/>
    </font>
    <font>
      <sz val="10"/>
      <name val="MS Sans Serif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0"/>
    </font>
    <font>
      <sz val="12"/>
      <name val="Arial MT"/>
      <family val="0"/>
    </font>
    <font>
      <sz val="8"/>
      <color indexed="10"/>
      <name val="Arial"/>
      <family val="2"/>
    </font>
    <font>
      <sz val="10"/>
      <name val="LinePrinter"/>
      <family val="3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1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Calibri"/>
      <family val="2"/>
    </font>
    <font>
      <sz val="6.2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44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28" fillId="3" borderId="0" applyNumberFormat="0" applyBorder="0" applyAlignment="0" applyProtection="0"/>
    <xf numFmtId="0" fontId="73" fillId="4" borderId="0" applyNumberFormat="0" applyBorder="0" applyAlignment="0" applyProtection="0"/>
    <xf numFmtId="0" fontId="28" fillId="5" borderId="0" applyNumberFormat="0" applyBorder="0" applyAlignment="0" applyProtection="0"/>
    <xf numFmtId="0" fontId="73" fillId="6" borderId="0" applyNumberFormat="0" applyBorder="0" applyAlignment="0" applyProtection="0"/>
    <xf numFmtId="0" fontId="28" fillId="7" borderId="0" applyNumberFormat="0" applyBorder="0" applyAlignment="0" applyProtection="0"/>
    <xf numFmtId="0" fontId="73" fillId="8" borderId="0" applyNumberFormat="0" applyBorder="0" applyAlignment="0" applyProtection="0"/>
    <xf numFmtId="0" fontId="28" fillId="9" borderId="0" applyNumberFormat="0" applyBorder="0" applyAlignment="0" applyProtection="0"/>
    <xf numFmtId="0" fontId="73" fillId="10" borderId="0" applyNumberFormat="0" applyBorder="0" applyAlignment="0" applyProtection="0"/>
    <xf numFmtId="0" fontId="28" fillId="11" borderId="0" applyNumberFormat="0" applyBorder="0" applyAlignment="0" applyProtection="0"/>
    <xf numFmtId="0" fontId="73" fillId="12" borderId="0" applyNumberFormat="0" applyBorder="0" applyAlignment="0" applyProtection="0"/>
    <xf numFmtId="0" fontId="28" fillId="13" borderId="0" applyNumberFormat="0" applyBorder="0" applyAlignment="0" applyProtection="0"/>
    <xf numFmtId="0" fontId="73" fillId="14" borderId="0" applyNumberFormat="0" applyBorder="0" applyAlignment="0" applyProtection="0"/>
    <xf numFmtId="0" fontId="28" fillId="15" borderId="0" applyNumberFormat="0" applyBorder="0" applyAlignment="0" applyProtection="0"/>
    <xf numFmtId="0" fontId="73" fillId="16" borderId="0" applyNumberFormat="0" applyBorder="0" applyAlignment="0" applyProtection="0"/>
    <xf numFmtId="0" fontId="28" fillId="17" borderId="0" applyNumberFormat="0" applyBorder="0" applyAlignment="0" applyProtection="0"/>
    <xf numFmtId="0" fontId="73" fillId="18" borderId="0" applyNumberFormat="0" applyBorder="0" applyAlignment="0" applyProtection="0"/>
    <xf numFmtId="0" fontId="28" fillId="19" borderId="0" applyNumberFormat="0" applyBorder="0" applyAlignment="0" applyProtection="0"/>
    <xf numFmtId="0" fontId="73" fillId="20" borderId="0" applyNumberFormat="0" applyBorder="0" applyAlignment="0" applyProtection="0"/>
    <xf numFmtId="0" fontId="28" fillId="9" borderId="0" applyNumberFormat="0" applyBorder="0" applyAlignment="0" applyProtection="0"/>
    <xf numFmtId="0" fontId="73" fillId="21" borderId="0" applyNumberFormat="0" applyBorder="0" applyAlignment="0" applyProtection="0"/>
    <xf numFmtId="0" fontId="28" fillId="15" borderId="0" applyNumberFormat="0" applyBorder="0" applyAlignment="0" applyProtection="0"/>
    <xf numFmtId="0" fontId="73" fillId="22" borderId="0" applyNumberFormat="0" applyBorder="0" applyAlignment="0" applyProtection="0"/>
    <xf numFmtId="0" fontId="28" fillId="23" borderId="0" applyNumberFormat="0" applyBorder="0" applyAlignment="0" applyProtection="0"/>
    <xf numFmtId="0" fontId="74" fillId="24" borderId="0" applyNumberFormat="0" applyBorder="0" applyAlignment="0" applyProtection="0"/>
    <xf numFmtId="0" fontId="29" fillId="25" borderId="0" applyNumberFormat="0" applyBorder="0" applyAlignment="0" applyProtection="0"/>
    <xf numFmtId="0" fontId="74" fillId="26" borderId="0" applyNumberFormat="0" applyBorder="0" applyAlignment="0" applyProtection="0"/>
    <xf numFmtId="0" fontId="29" fillId="17" borderId="0" applyNumberFormat="0" applyBorder="0" applyAlignment="0" applyProtection="0"/>
    <xf numFmtId="0" fontId="74" fillId="27" borderId="0" applyNumberFormat="0" applyBorder="0" applyAlignment="0" applyProtection="0"/>
    <xf numFmtId="0" fontId="29" fillId="19" borderId="0" applyNumberFormat="0" applyBorder="0" applyAlignment="0" applyProtection="0"/>
    <xf numFmtId="0" fontId="74" fillId="28" borderId="0" applyNumberFormat="0" applyBorder="0" applyAlignment="0" applyProtection="0"/>
    <xf numFmtId="0" fontId="29" fillId="29" borderId="0" applyNumberFormat="0" applyBorder="0" applyAlignment="0" applyProtection="0"/>
    <xf numFmtId="0" fontId="74" fillId="30" borderId="0" applyNumberFormat="0" applyBorder="0" applyAlignment="0" applyProtection="0"/>
    <xf numFmtId="0" fontId="29" fillId="31" borderId="0" applyNumberFormat="0" applyBorder="0" applyAlignment="0" applyProtection="0"/>
    <xf numFmtId="0" fontId="74" fillId="32" borderId="0" applyNumberFormat="0" applyBorder="0" applyAlignment="0" applyProtection="0"/>
    <xf numFmtId="0" fontId="29" fillId="33" borderId="0" applyNumberFormat="0" applyBorder="0" applyAlignment="0" applyProtection="0"/>
    <xf numFmtId="0" fontId="74" fillId="34" borderId="0" applyNumberFormat="0" applyBorder="0" applyAlignment="0" applyProtection="0"/>
    <xf numFmtId="0" fontId="29" fillId="35" borderId="0" applyNumberFormat="0" applyBorder="0" applyAlignment="0" applyProtection="0"/>
    <xf numFmtId="0" fontId="74" fillId="36" borderId="0" applyNumberFormat="0" applyBorder="0" applyAlignment="0" applyProtection="0"/>
    <xf numFmtId="0" fontId="29" fillId="37" borderId="0" applyNumberFormat="0" applyBorder="0" applyAlignment="0" applyProtection="0"/>
    <xf numFmtId="0" fontId="74" fillId="38" borderId="0" applyNumberFormat="0" applyBorder="0" applyAlignment="0" applyProtection="0"/>
    <xf numFmtId="0" fontId="29" fillId="39" borderId="0" applyNumberFormat="0" applyBorder="0" applyAlignment="0" applyProtection="0"/>
    <xf numFmtId="0" fontId="74" fillId="40" borderId="0" applyNumberFormat="0" applyBorder="0" applyAlignment="0" applyProtection="0"/>
    <xf numFmtId="0" fontId="29" fillId="29" borderId="0" applyNumberFormat="0" applyBorder="0" applyAlignment="0" applyProtection="0"/>
    <xf numFmtId="0" fontId="74" fillId="41" borderId="0" applyNumberFormat="0" applyBorder="0" applyAlignment="0" applyProtection="0"/>
    <xf numFmtId="0" fontId="29" fillId="31" borderId="0" applyNumberFormat="0" applyBorder="0" applyAlignment="0" applyProtection="0"/>
    <xf numFmtId="0" fontId="74" fillId="42" borderId="0" applyNumberFormat="0" applyBorder="0" applyAlignment="0" applyProtection="0"/>
    <xf numFmtId="0" fontId="29" fillId="43" borderId="0" applyNumberFormat="0" applyBorder="0" applyAlignment="0" applyProtection="0"/>
    <xf numFmtId="0" fontId="75" fillId="44" borderId="0" applyNumberFormat="0" applyBorder="0" applyAlignment="0" applyProtection="0"/>
    <xf numFmtId="0" fontId="30" fillId="5" borderId="0" applyNumberFormat="0" applyBorder="0" applyAlignment="0" applyProtection="0"/>
    <xf numFmtId="178" fontId="20" fillId="0" borderId="0" applyFill="0" applyBorder="0" applyAlignment="0">
      <protection/>
    </xf>
    <xf numFmtId="0" fontId="76" fillId="45" borderId="1" applyNumberFormat="0" applyAlignment="0" applyProtection="0"/>
    <xf numFmtId="0" fontId="31" fillId="46" borderId="2" applyNumberFormat="0" applyAlignment="0" applyProtection="0"/>
    <xf numFmtId="0" fontId="77" fillId="47" borderId="3" applyNumberFormat="0" applyAlignment="0" applyProtection="0"/>
    <xf numFmtId="0" fontId="32" fillId="48" borderId="4" applyNumberFormat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" fontId="3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37" fontId="0" fillId="0" borderId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Protection="0">
      <alignment horizontal="right"/>
    </xf>
    <xf numFmtId="5" fontId="37" fillId="0" borderId="0">
      <alignment/>
      <protection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80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79" fillId="49" borderId="0" applyNumberFormat="0" applyBorder="0" applyAlignment="0" applyProtection="0"/>
    <xf numFmtId="0" fontId="40" fillId="7" borderId="0" applyNumberFormat="0" applyBorder="0" applyAlignment="0" applyProtection="0"/>
    <xf numFmtId="38" fontId="7" fillId="46" borderId="0" applyNumberFormat="0" applyBorder="0" applyAlignment="0" applyProtection="0"/>
    <xf numFmtId="38" fontId="7" fillId="46" borderId="0" applyNumberFormat="0" applyBorder="0" applyAlignment="0" applyProtection="0"/>
    <xf numFmtId="0" fontId="8" fillId="0" borderId="0">
      <alignment/>
      <protection/>
    </xf>
    <xf numFmtId="0" fontId="9" fillId="0" borderId="5" applyNumberFormat="0" applyAlignment="0" applyProtection="0"/>
    <xf numFmtId="0" fontId="9" fillId="0" borderId="6">
      <alignment horizontal="left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27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0" fillId="0" borderId="0">
      <alignment/>
      <protection locked="0"/>
    </xf>
    <xf numFmtId="175" fontId="0" fillId="0" borderId="0">
      <alignment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>
      <protection locked="0"/>
    </xf>
    <xf numFmtId="10" fontId="7" fillId="50" borderId="9" applyNumberFormat="0" applyBorder="0" applyAlignment="0" applyProtection="0"/>
    <xf numFmtId="10" fontId="7" fillId="50" borderId="9" applyNumberFormat="0" applyBorder="0" applyAlignment="0" applyProtection="0"/>
    <xf numFmtId="0" fontId="13" fillId="0" borderId="0" applyNumberFormat="0" applyFill="0" applyBorder="0" applyAlignment="0">
      <protection locked="0"/>
    </xf>
    <xf numFmtId="38" fontId="17" fillId="0" borderId="0">
      <alignment horizontal="left" wrapText="1"/>
      <protection/>
    </xf>
    <xf numFmtId="38" fontId="41" fillId="0" borderId="0">
      <alignment horizontal="left" wrapText="1"/>
      <protection/>
    </xf>
    <xf numFmtId="0" fontId="81" fillId="0" borderId="10" applyNumberFormat="0" applyFill="0" applyAlignment="0" applyProtection="0"/>
    <xf numFmtId="0" fontId="42" fillId="0" borderId="11" applyNumberFormat="0" applyFill="0" applyAlignment="0" applyProtection="0"/>
    <xf numFmtId="181" fontId="0" fillId="0" borderId="0">
      <alignment/>
      <protection/>
    </xf>
    <xf numFmtId="167" fontId="4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43" fillId="52" borderId="0" applyNumberFormat="0" applyBorder="0" applyAlignment="0" applyProtection="0"/>
    <xf numFmtId="164" fontId="44" fillId="0" borderId="0" applyFont="0" applyAlignment="0" applyProtection="0"/>
    <xf numFmtId="0" fontId="7" fillId="0" borderId="12" applyNumberFormat="0" applyBorder="0" applyAlignment="0">
      <protection/>
    </xf>
    <xf numFmtId="0" fontId="7" fillId="0" borderId="12" applyNumberFormat="0" applyBorder="0" applyAlignment="0">
      <protection/>
    </xf>
    <xf numFmtId="0" fontId="7" fillId="0" borderId="12" applyNumberFormat="0" applyBorder="0" applyAlignment="0">
      <protection/>
    </xf>
    <xf numFmtId="171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37" fontId="37" fillId="0" borderId="0">
      <alignment/>
      <protection/>
    </xf>
    <xf numFmtId="3" fontId="7" fillId="0" borderId="0">
      <alignment/>
      <protection/>
    </xf>
    <xf numFmtId="41" fontId="2" fillId="0" borderId="0">
      <alignment/>
      <protection/>
    </xf>
    <xf numFmtId="0" fontId="0" fillId="53" borderId="13" applyNumberFormat="0" applyFont="0" applyAlignment="0" applyProtection="0"/>
    <xf numFmtId="0" fontId="0" fillId="50" borderId="14" applyNumberFormat="0" applyFont="0" applyAlignment="0" applyProtection="0"/>
    <xf numFmtId="0" fontId="28" fillId="50" borderId="14" applyNumberFormat="0" applyFont="0" applyAlignment="0" applyProtection="0"/>
    <xf numFmtId="183" fontId="14" fillId="0" borderId="0" applyFont="0" applyFill="0" applyBorder="0" applyProtection="0">
      <alignment/>
    </xf>
    <xf numFmtId="183" fontId="14" fillId="0" borderId="0" applyFont="0" applyFill="0" applyBorder="0" applyProtection="0">
      <alignment/>
    </xf>
    <xf numFmtId="0" fontId="83" fillId="45" borderId="15" applyNumberFormat="0" applyAlignment="0" applyProtection="0"/>
    <xf numFmtId="0" fontId="47" fillId="46" borderId="16" applyNumberFormat="0" applyAlignment="0" applyProtection="0"/>
    <xf numFmtId="40" fontId="20" fillId="54" borderId="0">
      <alignment horizontal="right"/>
      <protection/>
    </xf>
    <xf numFmtId="0" fontId="18" fillId="54" borderId="0">
      <alignment horizontal="left"/>
      <protection/>
    </xf>
    <xf numFmtId="12" fontId="9" fillId="48" borderId="17">
      <alignment horizontal="left"/>
      <protection/>
    </xf>
    <xf numFmtId="0" fontId="37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>
      <alignment/>
      <protection/>
    </xf>
    <xf numFmtId="4" fontId="18" fillId="52" borderId="18" applyNumberFormat="0" applyProtection="0">
      <alignment vertical="center"/>
    </xf>
    <xf numFmtId="4" fontId="19" fillId="52" borderId="18" applyNumberFormat="0" applyProtection="0">
      <alignment vertical="center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0" fontId="18" fillId="52" borderId="18" applyNumberFormat="0" applyProtection="0">
      <alignment horizontal="left" vertical="top" indent="1"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20" fillId="5" borderId="18" applyNumberFormat="0" applyProtection="0">
      <alignment horizontal="right" vertical="center"/>
    </xf>
    <xf numFmtId="4" fontId="20" fillId="17" borderId="18" applyNumberFormat="0" applyProtection="0">
      <alignment horizontal="right" vertical="center"/>
    </xf>
    <xf numFmtId="4" fontId="20" fillId="37" borderId="18" applyNumberFormat="0" applyProtection="0">
      <alignment horizontal="right" vertical="center"/>
    </xf>
    <xf numFmtId="4" fontId="20" fillId="23" borderId="18" applyNumberFormat="0" applyProtection="0">
      <alignment horizontal="right" vertical="center"/>
    </xf>
    <xf numFmtId="4" fontId="20" fillId="33" borderId="18" applyNumberFormat="0" applyProtection="0">
      <alignment horizontal="right" vertical="center"/>
    </xf>
    <xf numFmtId="4" fontId="20" fillId="43" borderId="18" applyNumberFormat="0" applyProtection="0">
      <alignment horizontal="right" vertical="center"/>
    </xf>
    <xf numFmtId="4" fontId="20" fillId="39" borderId="18" applyNumberFormat="0" applyProtection="0">
      <alignment horizontal="right" vertical="center"/>
    </xf>
    <xf numFmtId="4" fontId="20" fillId="56" borderId="18" applyNumberFormat="0" applyProtection="0">
      <alignment horizontal="right" vertical="center"/>
    </xf>
    <xf numFmtId="4" fontId="20" fillId="19" borderId="18" applyNumberFormat="0" applyProtection="0">
      <alignment horizontal="right" vertical="center"/>
    </xf>
    <xf numFmtId="4" fontId="18" fillId="57" borderId="19" applyNumberFormat="0" applyProtection="0">
      <alignment horizontal="left" vertical="center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0" fillId="55" borderId="18" applyNumberFormat="0" applyProtection="0">
      <alignment horizontal="right" vertical="center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4" fontId="20" fillId="50" borderId="18" applyNumberFormat="0" applyProtection="0">
      <alignment vertical="center"/>
    </xf>
    <xf numFmtId="4" fontId="24" fillId="50" borderId="18" applyNumberFormat="0" applyProtection="0">
      <alignment vertical="center"/>
    </xf>
    <xf numFmtId="4" fontId="20" fillId="50" borderId="18" applyNumberFormat="0" applyProtection="0">
      <alignment horizontal="left" vertical="center" indent="1"/>
    </xf>
    <xf numFmtId="0" fontId="20" fillId="50" borderId="18" applyNumberFormat="0" applyProtection="0">
      <alignment horizontal="left" vertical="top" indent="1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4" fillId="58" borderId="18" applyNumberFormat="0" applyProtection="0">
      <alignment horizontal="right" vertical="center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16" fillId="58" borderId="18" applyNumberFormat="0" applyProtection="0">
      <alignment horizontal="right" vertical="center"/>
    </xf>
    <xf numFmtId="37" fontId="49" fillId="63" borderId="0" applyNumberFormat="0" applyFont="0" applyBorder="0" applyAlignment="0" applyProtection="0"/>
    <xf numFmtId="184" fontId="0" fillId="0" borderId="20">
      <alignment horizontal="justify" vertical="top" wrapText="1"/>
      <protection/>
    </xf>
    <xf numFmtId="0" fontId="50" fillId="64" borderId="21">
      <alignment/>
      <protection/>
    </xf>
    <xf numFmtId="0" fontId="0" fillId="0" borderId="0">
      <alignment horizontal="left" wrapText="1"/>
      <protection/>
    </xf>
    <xf numFmtId="185" fontId="0" fillId="0" borderId="0" applyFill="0" applyBorder="0" applyAlignment="0" applyProtection="0"/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38" fontId="0" fillId="0" borderId="0">
      <alignment horizontal="left" wrapText="1"/>
      <protection/>
    </xf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>
      <alignment horizontal="center" vertical="center" wrapText="1"/>
      <protection/>
    </xf>
    <xf numFmtId="0" fontId="1" fillId="0" borderId="9">
      <alignment horizontal="center" vertical="center" wrapText="1"/>
      <protection/>
    </xf>
    <xf numFmtId="0" fontId="1" fillId="0" borderId="9">
      <alignment horizontal="center" vertical="center" wrapText="1"/>
      <protection/>
    </xf>
    <xf numFmtId="0" fontId="5" fillId="0" borderId="22" applyNumberFormat="0" applyFont="0" applyFill="0" applyAlignment="0" applyProtection="0"/>
    <xf numFmtId="0" fontId="5" fillId="0" borderId="22" applyNumberFormat="0" applyFont="0" applyFill="0" applyAlignment="0" applyProtection="0"/>
    <xf numFmtId="0" fontId="37" fillId="0" borderId="23">
      <alignment/>
      <protection/>
    </xf>
    <xf numFmtId="186" fontId="51" fillId="0" borderId="0">
      <alignment horizontal="left"/>
      <protection/>
    </xf>
    <xf numFmtId="0" fontId="37" fillId="0" borderId="24">
      <alignment/>
      <protection/>
    </xf>
    <xf numFmtId="38" fontId="20" fillId="0" borderId="25" applyFill="0" applyBorder="0" applyAlignment="0" applyProtection="0"/>
    <xf numFmtId="37" fontId="7" fillId="52" borderId="0" applyNumberFormat="0" applyBorder="0" applyAlignment="0" applyProtection="0"/>
    <xf numFmtId="37" fontId="7" fillId="52" borderId="0" applyNumberFormat="0" applyBorder="0" applyAlignment="0" applyProtection="0"/>
    <xf numFmtId="37" fontId="7" fillId="52" borderId="0" applyNumberFormat="0" applyBorder="0" applyAlignment="0" applyProtection="0"/>
    <xf numFmtId="37" fontId="7" fillId="0" borderId="0">
      <alignment/>
      <protection/>
    </xf>
    <xf numFmtId="37" fontId="7" fillId="52" borderId="0" applyNumberFormat="0" applyBorder="0" applyAlignment="0" applyProtection="0"/>
    <xf numFmtId="3" fontId="15" fillId="65" borderId="26" applyProtection="0">
      <alignment/>
    </xf>
    <xf numFmtId="0" fontId="85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63">
    <xf numFmtId="38" fontId="0" fillId="0" borderId="0" xfId="0" applyAlignment="1">
      <alignment/>
    </xf>
    <xf numFmtId="3" fontId="15" fillId="0" borderId="0" xfId="238" applyFont="1" applyBorder="1" applyAlignment="1">
      <alignment/>
      <protection/>
    </xf>
    <xf numFmtId="38" fontId="7" fillId="0" borderId="24" xfId="0" applyFont="1" applyBorder="1" applyAlignment="1">
      <alignment/>
    </xf>
    <xf numFmtId="38" fontId="7" fillId="0" borderId="0" xfId="0" applyFont="1" applyAlignment="1">
      <alignment/>
    </xf>
    <xf numFmtId="37" fontId="7" fillId="0" borderId="0" xfId="0" applyNumberFormat="1" applyFont="1" applyAlignment="1">
      <alignment/>
    </xf>
    <xf numFmtId="38" fontId="4" fillId="0" borderId="0" xfId="0" applyFont="1" applyAlignment="1">
      <alignment/>
    </xf>
    <xf numFmtId="38" fontId="4" fillId="0" borderId="27" xfId="0" applyFont="1" applyBorder="1" applyAlignment="1">
      <alignment/>
    </xf>
    <xf numFmtId="38" fontId="7" fillId="0" borderId="0" xfId="0" applyFont="1" applyAlignment="1" quotePrefix="1">
      <alignment/>
    </xf>
    <xf numFmtId="38" fontId="4" fillId="0" borderId="28" xfId="0" applyFont="1" applyBorder="1" applyAlignment="1">
      <alignment/>
    </xf>
    <xf numFmtId="37" fontId="4" fillId="0" borderId="29" xfId="0" applyNumberFormat="1" applyFont="1" applyBorder="1" applyAlignment="1">
      <alignment/>
    </xf>
    <xf numFmtId="38" fontId="7" fillId="0" borderId="0" xfId="0" applyFont="1" applyAlignment="1">
      <alignment horizontal="center"/>
    </xf>
    <xf numFmtId="38" fontId="4" fillId="0" borderId="0" xfId="0" applyFont="1" applyAlignment="1">
      <alignment horizontal="center"/>
    </xf>
    <xf numFmtId="41" fontId="7" fillId="0" borderId="0" xfId="239" applyFont="1" applyAlignment="1">
      <alignment horizontal="center"/>
      <protection/>
    </xf>
    <xf numFmtId="38" fontId="7" fillId="0" borderId="24" xfId="0" applyFont="1" applyBorder="1" applyAlignment="1">
      <alignment horizontal="center"/>
    </xf>
    <xf numFmtId="38" fontId="7" fillId="0" borderId="0" xfId="0" applyNumberFormat="1" applyFont="1" applyAlignment="1">
      <alignment horizontal="center"/>
    </xf>
    <xf numFmtId="38" fontId="7" fillId="0" borderId="30" xfId="0" applyFont="1" applyBorder="1" applyAlignment="1">
      <alignment/>
    </xf>
    <xf numFmtId="37" fontId="7" fillId="0" borderId="31" xfId="0" applyNumberFormat="1" applyFont="1" applyBorder="1" applyAlignment="1">
      <alignment/>
    </xf>
    <xf numFmtId="38" fontId="7" fillId="0" borderId="32" xfId="0" applyFont="1" applyBorder="1" applyAlignment="1">
      <alignment horizontal="center"/>
    </xf>
    <xf numFmtId="38" fontId="7" fillId="0" borderId="32" xfId="0" applyFont="1" applyBorder="1" applyAlignment="1">
      <alignment/>
    </xf>
    <xf numFmtId="38" fontId="7" fillId="0" borderId="33" xfId="0" applyFont="1" applyBorder="1" applyAlignment="1">
      <alignment/>
    </xf>
    <xf numFmtId="37" fontId="7" fillId="0" borderId="34" xfId="0" applyNumberFormat="1" applyFont="1" applyBorder="1" applyAlignment="1">
      <alignment/>
    </xf>
    <xf numFmtId="38" fontId="4" fillId="0" borderId="35" xfId="0" applyFont="1" applyBorder="1" applyAlignment="1">
      <alignment horizontal="center"/>
    </xf>
    <xf numFmtId="38" fontId="7" fillId="0" borderId="35" xfId="0" applyFont="1" applyBorder="1" applyAlignment="1">
      <alignment horizontal="left"/>
    </xf>
    <xf numFmtId="38" fontId="4" fillId="0" borderId="0" xfId="0" applyFont="1" applyBorder="1" applyAlignment="1">
      <alignment horizontal="center"/>
    </xf>
    <xf numFmtId="38" fontId="7" fillId="0" borderId="0" xfId="0" applyFont="1" applyBorder="1" applyAlignment="1" quotePrefix="1">
      <alignment horizontal="left"/>
    </xf>
    <xf numFmtId="38" fontId="7" fillId="0" borderId="0" xfId="0" applyFont="1" applyBorder="1" applyAlignment="1">
      <alignment horizontal="left"/>
    </xf>
    <xf numFmtId="38" fontId="7" fillId="0" borderId="33" xfId="0" applyFont="1" applyBorder="1" applyAlignment="1">
      <alignment horizontal="left"/>
    </xf>
    <xf numFmtId="38" fontId="4" fillId="0" borderId="24" xfId="0" applyFont="1" applyBorder="1" applyAlignment="1">
      <alignment horizontal="center"/>
    </xf>
    <xf numFmtId="38" fontId="7" fillId="0" borderId="24" xfId="0" applyFont="1" applyBorder="1" applyAlignment="1" quotePrefix="1">
      <alignment horizontal="left"/>
    </xf>
    <xf numFmtId="38" fontId="7" fillId="0" borderId="0" xfId="0" applyFont="1" applyBorder="1" applyAlignment="1">
      <alignment horizontal="center"/>
    </xf>
    <xf numFmtId="38" fontId="7" fillId="0" borderId="35" xfId="0" applyFont="1" applyBorder="1" applyAlignment="1">
      <alignment horizontal="center"/>
    </xf>
    <xf numFmtId="37" fontId="7" fillId="0" borderId="36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/>
    </xf>
    <xf numFmtId="38" fontId="7" fillId="0" borderId="27" xfId="0" applyFont="1" applyBorder="1" applyAlignment="1">
      <alignment horizontal="center"/>
    </xf>
    <xf numFmtId="38" fontId="7" fillId="0" borderId="24" xfId="0" applyNumberFormat="1" applyFont="1" applyBorder="1" applyAlignment="1">
      <alignment horizontal="center"/>
    </xf>
    <xf numFmtId="38" fontId="7" fillId="0" borderId="28" xfId="0" applyFont="1" applyBorder="1" applyAlignment="1">
      <alignment horizontal="center"/>
    </xf>
    <xf numFmtId="37" fontId="7" fillId="0" borderId="37" xfId="0" applyNumberFormat="1" applyFont="1" applyBorder="1" applyAlignment="1">
      <alignment/>
    </xf>
    <xf numFmtId="38" fontId="7" fillId="0" borderId="29" xfId="0" applyFont="1" applyBorder="1" applyAlignment="1">
      <alignment/>
    </xf>
    <xf numFmtId="37" fontId="7" fillId="0" borderId="36" xfId="0" applyNumberFormat="1" applyFont="1" applyBorder="1" applyAlignment="1">
      <alignment/>
    </xf>
    <xf numFmtId="38" fontId="7" fillId="52" borderId="0" xfId="0" applyFont="1" applyFill="1" applyAlignment="1">
      <alignment/>
    </xf>
    <xf numFmtId="38" fontId="53" fillId="52" borderId="0" xfId="0" applyFont="1" applyFill="1" applyAlignment="1">
      <alignment/>
    </xf>
    <xf numFmtId="38" fontId="54" fillId="52" borderId="0" xfId="0" applyFont="1" applyFill="1" applyAlignment="1">
      <alignment horizontal="center"/>
    </xf>
    <xf numFmtId="38" fontId="54" fillId="52" borderId="0" xfId="0" applyFont="1" applyFill="1" applyAlignment="1">
      <alignment/>
    </xf>
    <xf numFmtId="37" fontId="54" fillId="52" borderId="0" xfId="0" applyNumberFormat="1" applyFont="1" applyFill="1" applyAlignment="1">
      <alignment/>
    </xf>
    <xf numFmtId="37" fontId="7" fillId="0" borderId="32" xfId="239" applyNumberFormat="1" applyFont="1" applyFill="1" applyBorder="1" applyAlignment="1">
      <alignment horizontal="left"/>
      <protection/>
    </xf>
    <xf numFmtId="37" fontId="7" fillId="0" borderId="33" xfId="239" applyNumberFormat="1" applyFont="1" applyFill="1" applyBorder="1" applyAlignment="1">
      <alignment horizontal="left"/>
      <protection/>
    </xf>
    <xf numFmtId="37" fontId="7" fillId="0" borderId="32" xfId="0" applyNumberFormat="1" applyFont="1" applyBorder="1" applyAlignment="1">
      <alignment/>
    </xf>
    <xf numFmtId="37" fontId="7" fillId="0" borderId="33" xfId="0" applyNumberFormat="1" applyFont="1" applyBorder="1" applyAlignment="1">
      <alignment/>
    </xf>
    <xf numFmtId="38" fontId="50" fillId="0" borderId="0" xfId="0" applyFont="1" applyAlignment="1">
      <alignment/>
    </xf>
    <xf numFmtId="41" fontId="7" fillId="0" borderId="0" xfId="0" applyNumberFormat="1" applyFont="1" applyAlignment="1">
      <alignment/>
    </xf>
    <xf numFmtId="41" fontId="54" fillId="52" borderId="0" xfId="0" applyNumberFormat="1" applyFont="1" applyFill="1" applyAlignment="1">
      <alignment/>
    </xf>
    <xf numFmtId="41" fontId="7" fillId="0" borderId="29" xfId="0" applyNumberFormat="1" applyFont="1" applyBorder="1" applyAlignment="1" quotePrefix="1">
      <alignment horizontal="center"/>
    </xf>
    <xf numFmtId="41" fontId="7" fillId="0" borderId="27" xfId="0" applyNumberFormat="1" applyFont="1" applyBorder="1" applyAlignment="1" quotePrefix="1">
      <alignment horizontal="center"/>
    </xf>
    <xf numFmtId="41" fontId="7" fillId="0" borderId="38" xfId="0" applyNumberFormat="1" applyFont="1" applyBorder="1" applyAlignment="1" quotePrefix="1">
      <alignment horizontal="center"/>
    </xf>
    <xf numFmtId="41" fontId="7" fillId="0" borderId="32" xfId="0" applyNumberFormat="1" applyFont="1" applyBorder="1" applyAlignment="1" quotePrefix="1">
      <alignment horizontal="center"/>
    </xf>
    <xf numFmtId="41" fontId="7" fillId="0" borderId="0" xfId="0" applyNumberFormat="1" applyFont="1" applyBorder="1" applyAlignment="1" quotePrefix="1">
      <alignment horizontal="center"/>
    </xf>
    <xf numFmtId="41" fontId="7" fillId="0" borderId="37" xfId="0" applyNumberFormat="1" applyFont="1" applyBorder="1" applyAlignment="1" quotePrefix="1">
      <alignment horizontal="center"/>
    </xf>
    <xf numFmtId="41" fontId="7" fillId="0" borderId="3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37" xfId="0" applyNumberFormat="1" applyFont="1" applyBorder="1" applyAlignment="1">
      <alignment/>
    </xf>
    <xf numFmtId="41" fontId="15" fillId="0" borderId="32" xfId="0" applyNumberFormat="1" applyFont="1" applyBorder="1" applyAlignment="1">
      <alignment/>
    </xf>
    <xf numFmtId="41" fontId="15" fillId="0" borderId="0" xfId="0" applyNumberFormat="1" applyFont="1" applyBorder="1" applyAlignment="1">
      <alignment/>
    </xf>
    <xf numFmtId="41" fontId="15" fillId="0" borderId="37" xfId="0" applyNumberFormat="1" applyFont="1" applyBorder="1" applyAlignment="1">
      <alignment/>
    </xf>
    <xf numFmtId="41" fontId="15" fillId="0" borderId="33" xfId="0" applyNumberFormat="1" applyFont="1" applyBorder="1" applyAlignment="1">
      <alignment/>
    </xf>
    <xf numFmtId="41" fontId="15" fillId="0" borderId="24" xfId="0" applyNumberFormat="1" applyFont="1" applyBorder="1" applyAlignment="1">
      <alignment/>
    </xf>
    <xf numFmtId="41" fontId="15" fillId="0" borderId="34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38" xfId="0" applyNumberFormat="1" applyFont="1" applyBorder="1" applyAlignment="1">
      <alignment/>
    </xf>
    <xf numFmtId="41" fontId="15" fillId="0" borderId="33" xfId="0" applyNumberFormat="1" applyFont="1" applyBorder="1" applyAlignment="1">
      <alignment/>
    </xf>
    <xf numFmtId="41" fontId="15" fillId="0" borderId="24" xfId="0" applyNumberFormat="1" applyFont="1" applyBorder="1" applyAlignment="1">
      <alignment/>
    </xf>
    <xf numFmtId="41" fontId="15" fillId="0" borderId="34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41" fontId="4" fillId="0" borderId="28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41" fontId="7" fillId="0" borderId="35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7" xfId="0" applyNumberFormat="1" applyFont="1" applyBorder="1" applyAlignment="1">
      <alignment/>
    </xf>
    <xf numFmtId="41" fontId="15" fillId="0" borderId="4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41" fontId="7" fillId="0" borderId="21" xfId="0" applyNumberFormat="1" applyFont="1" applyBorder="1" applyAlignment="1" quotePrefix="1">
      <alignment/>
    </xf>
    <xf numFmtId="41" fontId="4" fillId="0" borderId="42" xfId="0" applyNumberFormat="1" applyFont="1" applyBorder="1" applyAlignment="1">
      <alignment/>
    </xf>
    <xf numFmtId="38" fontId="50" fillId="52" borderId="0" xfId="0" applyFont="1" applyFill="1" applyAlignment="1">
      <alignment/>
    </xf>
    <xf numFmtId="41" fontId="50" fillId="0" borderId="0" xfId="0" applyNumberFormat="1" applyFont="1" applyAlignment="1">
      <alignment/>
    </xf>
    <xf numFmtId="38" fontId="7" fillId="0" borderId="0" xfId="0" applyFont="1" applyAlignment="1">
      <alignment horizontal="left"/>
    </xf>
    <xf numFmtId="41" fontId="15" fillId="0" borderId="32" xfId="0" applyNumberFormat="1" applyFont="1" applyBorder="1" applyAlignment="1" quotePrefix="1">
      <alignment/>
    </xf>
    <xf numFmtId="41" fontId="15" fillId="0" borderId="33" xfId="0" applyNumberFormat="1" applyFont="1" applyBorder="1" applyAlignment="1" quotePrefix="1">
      <alignment/>
    </xf>
    <xf numFmtId="38" fontId="55" fillId="0" borderId="0" xfId="0" applyNumberFormat="1" applyFont="1" applyAlignment="1">
      <alignment horizontal="center"/>
    </xf>
    <xf numFmtId="41" fontId="50" fillId="0" borderId="32" xfId="0" applyNumberFormat="1" applyFont="1" applyBorder="1" applyAlignment="1">
      <alignment/>
    </xf>
    <xf numFmtId="41" fontId="50" fillId="0" borderId="0" xfId="0" applyNumberFormat="1" applyFont="1" applyBorder="1" applyAlignment="1">
      <alignment/>
    </xf>
    <xf numFmtId="37" fontId="7" fillId="0" borderId="43" xfId="0" applyNumberFormat="1" applyFont="1" applyBorder="1" applyAlignment="1">
      <alignment/>
    </xf>
    <xf numFmtId="10" fontId="15" fillId="0" borderId="21" xfId="0" applyNumberFormat="1" applyFont="1" applyBorder="1" applyAlignment="1">
      <alignment/>
    </xf>
    <xf numFmtId="38" fontId="7" fillId="0" borderId="32" xfId="0" applyFont="1" applyBorder="1" applyAlignment="1">
      <alignment horizontal="left"/>
    </xf>
    <xf numFmtId="38" fontId="4" fillId="0" borderId="30" xfId="0" applyFont="1" applyBorder="1" applyAlignment="1">
      <alignment horizontal="left"/>
    </xf>
    <xf numFmtId="38" fontId="4" fillId="0" borderId="32" xfId="0" applyFont="1" applyBorder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29" xfId="239" applyNumberFormat="1" applyFont="1" applyFill="1" applyBorder="1">
      <alignment/>
      <protection/>
    </xf>
    <xf numFmtId="38" fontId="4" fillId="0" borderId="27" xfId="0" applyFont="1" applyBorder="1" applyAlignment="1">
      <alignment horizontal="center"/>
    </xf>
    <xf numFmtId="37" fontId="7" fillId="0" borderId="29" xfId="0" applyNumberFormat="1" applyFont="1" applyBorder="1" applyAlignment="1">
      <alignment/>
    </xf>
    <xf numFmtId="37" fontId="15" fillId="0" borderId="41" xfId="0" applyNumberFormat="1" applyFont="1" applyBorder="1" applyAlignment="1">
      <alignment/>
    </xf>
    <xf numFmtId="38" fontId="7" fillId="0" borderId="21" xfId="0" applyFont="1" applyBorder="1" applyAlignment="1">
      <alignment/>
    </xf>
    <xf numFmtId="37" fontId="15" fillId="0" borderId="21" xfId="0" applyNumberFormat="1" applyFont="1" applyBorder="1" applyAlignment="1">
      <alignment/>
    </xf>
    <xf numFmtId="37" fontId="7" fillId="0" borderId="41" xfId="0" applyNumberFormat="1" applyFont="1" applyBorder="1" applyAlignment="1">
      <alignment/>
    </xf>
    <xf numFmtId="37" fontId="4" fillId="0" borderId="36" xfId="0" applyNumberFormat="1" applyFont="1" applyBorder="1" applyAlignment="1">
      <alignment/>
    </xf>
    <xf numFmtId="37" fontId="4" fillId="0" borderId="3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15" fillId="0" borderId="43" xfId="0" applyNumberFormat="1" applyFont="1" applyBorder="1" applyAlignment="1">
      <alignment/>
    </xf>
    <xf numFmtId="37" fontId="15" fillId="0" borderId="21" xfId="0" applyNumberFormat="1" applyFont="1" applyBorder="1" applyAlignment="1">
      <alignment/>
    </xf>
    <xf numFmtId="38" fontId="23" fillId="0" borderId="0" xfId="0" applyFont="1" applyAlignment="1">
      <alignment/>
    </xf>
    <xf numFmtId="37" fontId="7" fillId="0" borderId="24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38" fontId="55" fillId="0" borderId="32" xfId="238" applyNumberFormat="1" applyFont="1" applyBorder="1" applyAlignment="1">
      <alignment/>
      <protection/>
    </xf>
    <xf numFmtId="38" fontId="55" fillId="0" borderId="0" xfId="238" applyNumberFormat="1" applyFont="1" applyBorder="1" applyAlignment="1">
      <alignment/>
      <protection/>
    </xf>
    <xf numFmtId="38" fontId="55" fillId="0" borderId="0" xfId="238" applyNumberFormat="1" applyFont="1" applyBorder="1" applyAlignment="1" applyProtection="1">
      <alignment/>
      <protection locked="0"/>
    </xf>
    <xf numFmtId="38" fontId="55" fillId="0" borderId="0" xfId="0" applyNumberFormat="1" applyFont="1" applyBorder="1" applyAlignment="1">
      <alignment/>
    </xf>
    <xf numFmtId="38" fontId="23" fillId="0" borderId="27" xfId="0" applyFont="1" applyBorder="1" applyAlignment="1">
      <alignment/>
    </xf>
    <xf numFmtId="38" fontId="55" fillId="0" borderId="27" xfId="0" applyFont="1" applyBorder="1" applyAlignment="1">
      <alignment horizontal="center"/>
    </xf>
    <xf numFmtId="188" fontId="23" fillId="0" borderId="29" xfId="0" applyNumberFormat="1" applyFont="1" applyBorder="1" applyAlignment="1">
      <alignment/>
    </xf>
    <xf numFmtId="176" fontId="23" fillId="0" borderId="27" xfId="0" applyNumberFormat="1" applyFont="1" applyBorder="1" applyAlignment="1">
      <alignment/>
    </xf>
    <xf numFmtId="176" fontId="23" fillId="0" borderId="38" xfId="0" applyNumberFormat="1" applyFont="1" applyBorder="1" applyAlignment="1">
      <alignment/>
    </xf>
    <xf numFmtId="176" fontId="23" fillId="0" borderId="36" xfId="0" applyNumberFormat="1" applyFont="1" applyBorder="1" applyAlignment="1">
      <alignment horizontal="right"/>
    </xf>
    <xf numFmtId="38" fontId="55" fillId="0" borderId="30" xfId="0" applyFont="1" applyBorder="1" applyAlignment="1">
      <alignment/>
    </xf>
    <xf numFmtId="38" fontId="55" fillId="0" borderId="35" xfId="0" applyFont="1" applyBorder="1" applyAlignment="1">
      <alignment horizontal="center"/>
    </xf>
    <xf numFmtId="41" fontId="55" fillId="0" borderId="35" xfId="0" applyNumberFormat="1" applyFont="1" applyBorder="1" applyAlignment="1">
      <alignment/>
    </xf>
    <xf numFmtId="37" fontId="55" fillId="0" borderId="43" xfId="0" applyNumberFormat="1" applyFont="1" applyBorder="1" applyAlignment="1">
      <alignment/>
    </xf>
    <xf numFmtId="38" fontId="55" fillId="0" borderId="32" xfId="0" applyFont="1" applyBorder="1" applyAlignment="1">
      <alignment/>
    </xf>
    <xf numFmtId="38" fontId="55" fillId="0" borderId="0" xfId="0" applyFont="1" applyBorder="1" applyAlignment="1">
      <alignment horizontal="center"/>
    </xf>
    <xf numFmtId="41" fontId="55" fillId="0" borderId="0" xfId="0" applyNumberFormat="1" applyFont="1" applyBorder="1" applyAlignment="1">
      <alignment/>
    </xf>
    <xf numFmtId="37" fontId="55" fillId="0" borderId="41" xfId="0" applyNumberFormat="1" applyFont="1" applyBorder="1" applyAlignment="1">
      <alignment/>
    </xf>
    <xf numFmtId="37" fontId="50" fillId="0" borderId="0" xfId="0" applyNumberFormat="1" applyFont="1" applyAlignment="1">
      <alignment/>
    </xf>
    <xf numFmtId="38" fontId="23" fillId="0" borderId="0" xfId="0" applyFont="1" applyAlignment="1" quotePrefix="1">
      <alignment/>
    </xf>
    <xf numFmtId="38" fontId="15" fillId="0" borderId="0" xfId="0" applyFont="1" applyAlignment="1">
      <alignment/>
    </xf>
    <xf numFmtId="41" fontId="7" fillId="0" borderId="36" xfId="0" applyNumberFormat="1" applyFont="1" applyBorder="1" applyAlignment="1">
      <alignment/>
    </xf>
    <xf numFmtId="37" fontId="55" fillId="0" borderId="21" xfId="0" applyNumberFormat="1" applyFont="1" applyBorder="1" applyAlignment="1">
      <alignment/>
    </xf>
    <xf numFmtId="38" fontId="55" fillId="0" borderId="43" xfId="0" applyNumberFormat="1" applyFont="1" applyBorder="1" applyAlignment="1">
      <alignment/>
    </xf>
    <xf numFmtId="38" fontId="55" fillId="0" borderId="21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38" fontId="7" fillId="0" borderId="0" xfId="0" applyFont="1" applyBorder="1" applyAlignment="1">
      <alignment/>
    </xf>
    <xf numFmtId="38" fontId="7" fillId="37" borderId="0" xfId="0" applyFont="1" applyFill="1" applyAlignment="1">
      <alignment horizontal="center"/>
    </xf>
    <xf numFmtId="41" fontId="7" fillId="37" borderId="0" xfId="0" applyNumberFormat="1" applyFont="1" applyFill="1" applyAlignment="1">
      <alignment/>
    </xf>
    <xf numFmtId="37" fontId="7" fillId="37" borderId="0" xfId="0" applyNumberFormat="1" applyFont="1" applyFill="1" applyAlignment="1">
      <alignment/>
    </xf>
    <xf numFmtId="38" fontId="56" fillId="37" borderId="0" xfId="0" applyFont="1" applyFill="1" applyAlignment="1">
      <alignment/>
    </xf>
    <xf numFmtId="166" fontId="55" fillId="0" borderId="41" xfId="252" applyNumberFormat="1" applyFont="1" applyBorder="1" applyAlignment="1">
      <alignment/>
    </xf>
    <xf numFmtId="176" fontId="55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6" fontId="55" fillId="0" borderId="0" xfId="252" applyNumberFormat="1" applyFont="1" applyBorder="1" applyAlignment="1">
      <alignment/>
    </xf>
    <xf numFmtId="38" fontId="15" fillId="0" borderId="30" xfId="0" applyFont="1" applyBorder="1" applyAlignment="1">
      <alignment/>
    </xf>
    <xf numFmtId="38" fontId="7" fillId="0" borderId="0" xfId="71" applyNumberFormat="1" applyFont="1" applyAlignment="1">
      <alignment/>
    </xf>
    <xf numFmtId="38" fontId="50" fillId="0" borderId="0" xfId="0" applyNumberFormat="1" applyFont="1" applyAlignment="1">
      <alignment horizontal="center"/>
    </xf>
    <xf numFmtId="38" fontId="7" fillId="0" borderId="44" xfId="0" applyFont="1" applyBorder="1" applyAlignment="1">
      <alignment/>
    </xf>
    <xf numFmtId="37" fontId="15" fillId="0" borderId="41" xfId="0" applyNumberFormat="1" applyFont="1" applyBorder="1" applyAlignment="1">
      <alignment/>
    </xf>
    <xf numFmtId="38" fontId="50" fillId="0" borderId="0" xfId="0" applyFont="1" applyAlignment="1">
      <alignment horizontal="center"/>
    </xf>
    <xf numFmtId="38" fontId="55" fillId="0" borderId="27" xfId="0" applyFont="1" applyBorder="1" applyAlignment="1">
      <alignment/>
    </xf>
    <xf numFmtId="188" fontId="55" fillId="0" borderId="29" xfId="0" applyNumberFormat="1" applyFont="1" applyBorder="1" applyAlignment="1">
      <alignment/>
    </xf>
    <xf numFmtId="176" fontId="55" fillId="0" borderId="27" xfId="0" applyNumberFormat="1" applyFont="1" applyBorder="1" applyAlignment="1">
      <alignment/>
    </xf>
    <xf numFmtId="176" fontId="55" fillId="0" borderId="38" xfId="0" applyNumberFormat="1" applyFont="1" applyBorder="1" applyAlignment="1">
      <alignment/>
    </xf>
    <xf numFmtId="176" fontId="55" fillId="0" borderId="36" xfId="0" applyNumberFormat="1" applyFont="1" applyBorder="1" applyAlignment="1">
      <alignment horizontal="right"/>
    </xf>
    <xf numFmtId="166" fontId="55" fillId="0" borderId="36" xfId="252" applyNumberFormat="1" applyFont="1" applyBorder="1" applyAlignment="1">
      <alignment/>
    </xf>
    <xf numFmtId="191" fontId="7" fillId="0" borderId="0" xfId="0" applyNumberFormat="1" applyFont="1" applyAlignment="1">
      <alignment/>
    </xf>
    <xf numFmtId="41" fontId="55" fillId="0" borderId="21" xfId="0" applyNumberFormat="1" applyFont="1" applyBorder="1" applyAlignment="1">
      <alignment/>
    </xf>
    <xf numFmtId="41" fontId="55" fillId="0" borderId="41" xfId="0" applyNumberFormat="1" applyFont="1" applyBorder="1" applyAlignment="1">
      <alignment/>
    </xf>
    <xf numFmtId="41" fontId="55" fillId="0" borderId="21" xfId="0" applyNumberFormat="1" applyFont="1" applyBorder="1" applyAlignment="1">
      <alignment horizontal="right"/>
    </xf>
    <xf numFmtId="41" fontId="15" fillId="0" borderId="35" xfId="0" applyNumberFormat="1" applyFont="1" applyBorder="1" applyAlignment="1">
      <alignment/>
    </xf>
    <xf numFmtId="37" fontId="55" fillId="0" borderId="36" xfId="0" applyNumberFormat="1" applyFont="1" applyBorder="1" applyAlignment="1">
      <alignment/>
    </xf>
    <xf numFmtId="41" fontId="55" fillId="0" borderId="27" xfId="0" applyNumberFormat="1" applyFont="1" applyBorder="1" applyAlignment="1">
      <alignment/>
    </xf>
    <xf numFmtId="37" fontId="55" fillId="0" borderId="37" xfId="0" applyNumberFormat="1" applyFont="1" applyBorder="1" applyAlignment="1">
      <alignment/>
    </xf>
    <xf numFmtId="189" fontId="55" fillId="0" borderId="21" xfId="0" applyNumberFormat="1" applyFont="1" applyBorder="1" applyAlignment="1">
      <alignment/>
    </xf>
    <xf numFmtId="189" fontId="57" fillId="0" borderId="21" xfId="0" applyNumberFormat="1" applyFont="1" applyBorder="1" applyAlignment="1">
      <alignment/>
    </xf>
    <xf numFmtId="165" fontId="57" fillId="0" borderId="21" xfId="0" applyNumberFormat="1" applyFont="1" applyBorder="1" applyAlignment="1">
      <alignment/>
    </xf>
    <xf numFmtId="165" fontId="55" fillId="0" borderId="21" xfId="0" applyNumberFormat="1" applyFont="1" applyBorder="1" applyAlignment="1">
      <alignment/>
    </xf>
    <xf numFmtId="189" fontId="55" fillId="0" borderId="41" xfId="0" applyNumberFormat="1" applyFont="1" applyBorder="1" applyAlignment="1">
      <alignment/>
    </xf>
    <xf numFmtId="190" fontId="57" fillId="0" borderId="21" xfId="0" applyNumberFormat="1" applyFont="1" applyBorder="1" applyAlignment="1">
      <alignment/>
    </xf>
    <xf numFmtId="174" fontId="7" fillId="0" borderId="32" xfId="0" applyNumberFormat="1" applyFont="1" applyBorder="1" applyAlignment="1">
      <alignment/>
    </xf>
    <xf numFmtId="41" fontId="55" fillId="0" borderId="32" xfId="0" applyNumberFormat="1" applyFont="1" applyBorder="1" applyAlignment="1">
      <alignment/>
    </xf>
    <xf numFmtId="41" fontId="55" fillId="0" borderId="37" xfId="0" applyNumberFormat="1" applyFont="1" applyBorder="1" applyAlignment="1">
      <alignment/>
    </xf>
    <xf numFmtId="41" fontId="55" fillId="0" borderId="33" xfId="0" applyNumberFormat="1" applyFont="1" applyBorder="1" applyAlignment="1">
      <alignment/>
    </xf>
    <xf numFmtId="41" fontId="55" fillId="0" borderId="24" xfId="0" applyNumberFormat="1" applyFont="1" applyBorder="1" applyAlignment="1">
      <alignment/>
    </xf>
    <xf numFmtId="41" fontId="55" fillId="0" borderId="34" xfId="0" applyNumberFormat="1" applyFont="1" applyBorder="1" applyAlignment="1">
      <alignment/>
    </xf>
    <xf numFmtId="41" fontId="55" fillId="0" borderId="30" xfId="0" applyNumberFormat="1" applyFont="1" applyBorder="1" applyAlignment="1">
      <alignment/>
    </xf>
    <xf numFmtId="41" fontId="55" fillId="0" borderId="31" xfId="0" applyNumberFormat="1" applyFont="1" applyBorder="1" applyAlignment="1">
      <alignment/>
    </xf>
    <xf numFmtId="41" fontId="55" fillId="0" borderId="43" xfId="0" applyNumberFormat="1" applyFont="1" applyBorder="1" applyAlignment="1">
      <alignment/>
    </xf>
    <xf numFmtId="38" fontId="50" fillId="0" borderId="0" xfId="0" applyFont="1" applyBorder="1" applyAlignment="1">
      <alignment/>
    </xf>
    <xf numFmtId="41" fontId="7" fillId="0" borderId="33" xfId="0" applyNumberFormat="1" applyFont="1" applyBorder="1" applyAlignment="1">
      <alignment/>
    </xf>
    <xf numFmtId="41" fontId="7" fillId="0" borderId="34" xfId="0" applyNumberFormat="1" applyFont="1" applyBorder="1" applyAlignment="1">
      <alignment/>
    </xf>
    <xf numFmtId="41" fontId="7" fillId="0" borderId="41" xfId="0" applyNumberFormat="1" applyFont="1" applyBorder="1" applyAlignment="1">
      <alignment/>
    </xf>
    <xf numFmtId="41" fontId="55" fillId="0" borderId="30" xfId="0" applyNumberFormat="1" applyFont="1" applyBorder="1" applyAlignment="1" quotePrefix="1">
      <alignment/>
    </xf>
    <xf numFmtId="41" fontId="55" fillId="0" borderId="33" xfId="0" applyNumberFormat="1" applyFont="1" applyBorder="1" applyAlignment="1" quotePrefix="1">
      <alignment/>
    </xf>
    <xf numFmtId="41" fontId="7" fillId="0" borderId="29" xfId="0" applyNumberFormat="1" applyFont="1" applyBorder="1" applyAlignment="1">
      <alignment/>
    </xf>
    <xf numFmtId="41" fontId="7" fillId="0" borderId="38" xfId="0" applyNumberFormat="1" applyFont="1" applyBorder="1" applyAlignment="1">
      <alignment/>
    </xf>
    <xf numFmtId="192" fontId="50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50" fillId="0" borderId="0" xfId="0" applyNumberFormat="1" applyFont="1" applyBorder="1" applyAlignment="1">
      <alignment/>
    </xf>
    <xf numFmtId="174" fontId="7" fillId="0" borderId="24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15" fillId="0" borderId="0" xfId="0" applyNumberFormat="1" applyFont="1" applyBorder="1" applyAlignment="1">
      <alignment/>
    </xf>
    <xf numFmtId="41" fontId="15" fillId="0" borderId="30" xfId="0" applyNumberFormat="1" applyFont="1" applyBorder="1" applyAlignment="1">
      <alignment/>
    </xf>
    <xf numFmtId="41" fontId="15" fillId="0" borderId="31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174" fontId="15" fillId="0" borderId="24" xfId="0" applyNumberFormat="1" applyFont="1" applyBorder="1" applyAlignment="1">
      <alignment/>
    </xf>
    <xf numFmtId="38" fontId="7" fillId="0" borderId="30" xfId="0" applyFont="1" applyBorder="1" applyAlignment="1">
      <alignment horizontal="left"/>
    </xf>
    <xf numFmtId="38" fontId="7" fillId="0" borderId="29" xfId="0" applyFont="1" applyBorder="1" applyAlignment="1">
      <alignment horizontal="left"/>
    </xf>
    <xf numFmtId="174" fontId="50" fillId="0" borderId="27" xfId="0" applyNumberFormat="1" applyFont="1" applyBorder="1" applyAlignment="1">
      <alignment/>
    </xf>
    <xf numFmtId="177" fontId="50" fillId="0" borderId="36" xfId="0" applyNumberFormat="1" applyFont="1" applyBorder="1" applyAlignment="1">
      <alignment/>
    </xf>
    <xf numFmtId="41" fontId="15" fillId="0" borderId="0" xfId="0" applyNumberFormat="1" applyFont="1" applyAlignment="1">
      <alignment/>
    </xf>
    <xf numFmtId="38" fontId="55" fillId="0" borderId="0" xfId="0" applyFont="1" applyAlignment="1">
      <alignment/>
    </xf>
    <xf numFmtId="38" fontId="7" fillId="0" borderId="0" xfId="0" applyFont="1" applyAlignment="1">
      <alignment horizontal="right"/>
    </xf>
    <xf numFmtId="41" fontId="50" fillId="0" borderId="45" xfId="0" applyNumberFormat="1" applyFont="1" applyBorder="1" applyAlignment="1">
      <alignment/>
    </xf>
    <xf numFmtId="41" fontId="7" fillId="0" borderId="45" xfId="0" applyNumberFormat="1" applyFont="1" applyBorder="1" applyAlignment="1">
      <alignment/>
    </xf>
    <xf numFmtId="41" fontId="50" fillId="0" borderId="46" xfId="0" applyNumberFormat="1" applyFont="1" applyBorder="1" applyAlignment="1">
      <alignment/>
    </xf>
    <xf numFmtId="43" fontId="50" fillId="0" borderId="44" xfId="0" applyNumberFormat="1" applyFont="1" applyBorder="1" applyAlignment="1">
      <alignment/>
    </xf>
    <xf numFmtId="43" fontId="50" fillId="0" borderId="45" xfId="0" applyNumberFormat="1" applyFont="1" applyBorder="1" applyAlignment="1">
      <alignment/>
    </xf>
    <xf numFmtId="43" fontId="50" fillId="0" borderId="46" xfId="0" applyNumberFormat="1" applyFont="1" applyBorder="1" applyAlignment="1">
      <alignment/>
    </xf>
    <xf numFmtId="164" fontId="50" fillId="0" borderId="44" xfId="0" applyNumberFormat="1" applyFont="1" applyBorder="1" applyAlignment="1">
      <alignment/>
    </xf>
    <xf numFmtId="164" fontId="50" fillId="0" borderId="45" xfId="0" applyNumberFormat="1" applyFont="1" applyBorder="1" applyAlignment="1">
      <alignment/>
    </xf>
    <xf numFmtId="177" fontId="50" fillId="0" borderId="0" xfId="0" applyNumberFormat="1" applyFont="1" applyBorder="1" applyAlignment="1">
      <alignment/>
    </xf>
    <xf numFmtId="38" fontId="7" fillId="52" borderId="0" xfId="0" applyFont="1" applyFill="1" applyAlignment="1">
      <alignment horizontal="center"/>
    </xf>
    <xf numFmtId="41" fontId="7" fillId="52" borderId="0" xfId="0" applyNumberFormat="1" applyFont="1" applyFill="1" applyAlignment="1">
      <alignment/>
    </xf>
    <xf numFmtId="38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41" fontId="58" fillId="0" borderId="27" xfId="0" applyNumberFormat="1" applyFont="1" applyBorder="1" applyAlignment="1" quotePrefix="1">
      <alignment horizontal="center"/>
    </xf>
    <xf numFmtId="41" fontId="55" fillId="0" borderId="29" xfId="238" applyNumberFormat="1" applyFont="1" applyBorder="1" applyAlignment="1">
      <alignment/>
      <protection/>
    </xf>
    <xf numFmtId="41" fontId="55" fillId="0" borderId="27" xfId="238" applyNumberFormat="1" applyFont="1" applyBorder="1" applyAlignment="1">
      <alignment/>
      <protection/>
    </xf>
    <xf numFmtId="41" fontId="55" fillId="0" borderId="36" xfId="238" applyNumberFormat="1" applyFont="1" applyBorder="1" applyAlignment="1">
      <alignment/>
      <protection/>
    </xf>
    <xf numFmtId="38" fontId="7" fillId="0" borderId="38" xfId="0" applyFont="1" applyBorder="1" applyAlignment="1">
      <alignment horizontal="center"/>
    </xf>
    <xf numFmtId="3" fontId="4" fillId="0" borderId="24" xfId="238" applyFont="1" applyBorder="1" applyAlignment="1">
      <alignment/>
      <protection/>
    </xf>
    <xf numFmtId="194" fontId="7" fillId="0" borderId="0" xfId="0" applyNumberFormat="1" applyFont="1" applyBorder="1" applyAlignment="1">
      <alignment horizontal="center"/>
    </xf>
    <xf numFmtId="38" fontId="7" fillId="0" borderId="0" xfId="0" applyFont="1" applyAlignment="1" quotePrefix="1">
      <alignment horizontal="center"/>
    </xf>
    <xf numFmtId="38" fontId="7" fillId="0" borderId="0" xfId="0" applyFont="1" applyAlignment="1" quotePrefix="1">
      <alignment horizontal="left"/>
    </xf>
    <xf numFmtId="41" fontId="7" fillId="0" borderId="0" xfId="0" applyNumberFormat="1" applyFont="1" applyBorder="1" applyAlignment="1">
      <alignment horizontal="center"/>
    </xf>
    <xf numFmtId="38" fontId="50" fillId="0" borderId="0" xfId="0" applyFont="1" applyAlignment="1">
      <alignment horizontal="left"/>
    </xf>
    <xf numFmtId="41" fontId="58" fillId="0" borderId="0" xfId="0" applyNumberFormat="1" applyFont="1" applyBorder="1" applyAlignment="1" quotePrefix="1">
      <alignment horizontal="center"/>
    </xf>
    <xf numFmtId="38" fontId="7" fillId="0" borderId="35" xfId="0" applyFont="1" applyBorder="1" applyAlignment="1">
      <alignment/>
    </xf>
    <xf numFmtId="38" fontId="7" fillId="0" borderId="31" xfId="0" applyFont="1" applyBorder="1" applyAlignment="1">
      <alignment horizontal="center"/>
    </xf>
    <xf numFmtId="38" fontId="7" fillId="0" borderId="34" xfId="0" applyFont="1" applyBorder="1" applyAlignment="1">
      <alignment horizontal="center"/>
    </xf>
    <xf numFmtId="10" fontId="7" fillId="0" borderId="0" xfId="252" applyNumberFormat="1" applyFont="1" applyAlignment="1">
      <alignment/>
    </xf>
    <xf numFmtId="166" fontId="23" fillId="0" borderId="41" xfId="252" applyNumberFormat="1" applyFont="1" applyBorder="1" applyAlignment="1">
      <alignment/>
    </xf>
    <xf numFmtId="41" fontId="50" fillId="0" borderId="44" xfId="0" applyNumberFormat="1" applyFont="1" applyBorder="1" applyAlignment="1">
      <alignment/>
    </xf>
    <xf numFmtId="41" fontId="50" fillId="0" borderId="0" xfId="0" applyNumberFormat="1" applyFont="1" applyAlignment="1">
      <alignment horizontal="center"/>
    </xf>
    <xf numFmtId="37" fontId="58" fillId="0" borderId="43" xfId="0" applyNumberFormat="1" applyFont="1" applyBorder="1" applyAlignment="1">
      <alignment/>
    </xf>
    <xf numFmtId="166" fontId="58" fillId="0" borderId="41" xfId="252" applyNumberFormat="1" applyFont="1" applyBorder="1" applyAlignment="1">
      <alignment/>
    </xf>
    <xf numFmtId="37" fontId="57" fillId="0" borderId="43" xfId="0" applyNumberFormat="1" applyFont="1" applyBorder="1" applyAlignment="1">
      <alignment/>
    </xf>
    <xf numFmtId="166" fontId="55" fillId="0" borderId="41" xfId="0" applyNumberFormat="1" applyFont="1" applyBorder="1" applyAlignment="1">
      <alignment horizontal="center"/>
    </xf>
    <xf numFmtId="166" fontId="55" fillId="0" borderId="43" xfId="0" applyNumberFormat="1" applyFont="1" applyBorder="1" applyAlignment="1">
      <alignment horizontal="center"/>
    </xf>
    <xf numFmtId="177" fontId="50" fillId="0" borderId="0" xfId="0" applyNumberFormat="1" applyFont="1" applyAlignment="1">
      <alignment/>
    </xf>
    <xf numFmtId="166" fontId="50" fillId="0" borderId="0" xfId="252" applyNumberFormat="1" applyFont="1" applyAlignment="1">
      <alignment horizontal="center"/>
    </xf>
    <xf numFmtId="38" fontId="4" fillId="0" borderId="29" xfId="0" applyFont="1" applyBorder="1" applyAlignment="1">
      <alignment/>
    </xf>
    <xf numFmtId="38" fontId="23" fillId="0" borderId="27" xfId="0" applyFont="1" applyBorder="1" applyAlignment="1">
      <alignment horizontal="center"/>
    </xf>
    <xf numFmtId="38" fontId="7" fillId="0" borderId="0" xfId="0" applyFont="1" applyAlignment="1">
      <alignment/>
    </xf>
    <xf numFmtId="41" fontId="7" fillId="0" borderId="27" xfId="0" applyNumberFormat="1" applyFont="1" applyBorder="1" applyAlignment="1" quotePrefix="1">
      <alignment horizontal="center"/>
    </xf>
    <xf numFmtId="37" fontId="7" fillId="0" borderId="36" xfId="0" applyNumberFormat="1" applyFont="1" applyBorder="1" applyAlignment="1">
      <alignment horizontal="center"/>
    </xf>
    <xf numFmtId="38" fontId="56" fillId="37" borderId="0" xfId="0" applyFont="1" applyFill="1" applyAlignment="1">
      <alignment horizontal="center"/>
    </xf>
    <xf numFmtId="191" fontId="23" fillId="0" borderId="0" xfId="0" applyNumberFormat="1" applyFont="1" applyAlignment="1">
      <alignment/>
    </xf>
    <xf numFmtId="41" fontId="50" fillId="0" borderId="0" xfId="0" applyNumberFormat="1" applyFont="1" applyBorder="1" applyAlignment="1">
      <alignment horizontal="right"/>
    </xf>
    <xf numFmtId="5" fontId="4" fillId="0" borderId="2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1" fontId="58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 quotePrefix="1">
      <alignment/>
    </xf>
    <xf numFmtId="38" fontId="7" fillId="0" borderId="27" xfId="0" applyFont="1" applyBorder="1" applyAlignment="1">
      <alignment/>
    </xf>
    <xf numFmtId="10" fontId="7" fillId="0" borderId="0" xfId="252" applyNumberFormat="1" applyFont="1" applyBorder="1" applyAlignment="1">
      <alignment/>
    </xf>
    <xf numFmtId="41" fontId="58" fillId="0" borderId="0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173" fontId="7" fillId="0" borderId="32" xfId="0" applyNumberFormat="1" applyFont="1" applyBorder="1" applyAlignment="1">
      <alignment/>
    </xf>
    <xf numFmtId="173" fontId="7" fillId="0" borderId="37" xfId="0" applyNumberFormat="1" applyFont="1" applyBorder="1" applyAlignment="1">
      <alignment/>
    </xf>
    <xf numFmtId="41" fontId="50" fillId="0" borderId="37" xfId="0" applyNumberFormat="1" applyFont="1" applyBorder="1" applyAlignment="1">
      <alignment/>
    </xf>
    <xf numFmtId="166" fontId="7" fillId="0" borderId="0" xfId="252" applyNumberFormat="1" applyFont="1" applyAlignment="1">
      <alignment/>
    </xf>
    <xf numFmtId="205" fontId="50" fillId="0" borderId="0" xfId="0" applyNumberFormat="1" applyFont="1" applyAlignment="1" quotePrefix="1">
      <alignment/>
    </xf>
    <xf numFmtId="38" fontId="0" fillId="0" borderId="0" xfId="0" applyFont="1" applyAlignment="1">
      <alignment/>
    </xf>
    <xf numFmtId="38" fontId="1" fillId="0" borderId="0" xfId="0" applyFont="1" applyAlignment="1">
      <alignment/>
    </xf>
    <xf numFmtId="38" fontId="20" fillId="0" borderId="0" xfId="0" applyFont="1" applyAlignment="1">
      <alignment/>
    </xf>
    <xf numFmtId="38" fontId="0" fillId="0" borderId="0" xfId="0" applyFont="1" applyAlignment="1">
      <alignment/>
    </xf>
    <xf numFmtId="38" fontId="18" fillId="0" borderId="0" xfId="0" applyFont="1" applyAlignment="1">
      <alignment/>
    </xf>
    <xf numFmtId="38" fontId="1" fillId="0" borderId="0" xfId="0" applyFont="1" applyAlignment="1">
      <alignment horizontal="center"/>
    </xf>
    <xf numFmtId="41" fontId="58" fillId="0" borderId="32" xfId="0" applyNumberFormat="1" applyFont="1" applyBorder="1" applyAlignment="1">
      <alignment/>
    </xf>
    <xf numFmtId="41" fontId="58" fillId="0" borderId="29" xfId="0" applyNumberFormat="1" applyFont="1" applyBorder="1" applyAlignment="1" quotePrefix="1">
      <alignment horizontal="center"/>
    </xf>
    <xf numFmtId="41" fontId="58" fillId="0" borderId="33" xfId="0" applyNumberFormat="1" applyFont="1" applyBorder="1" applyAlignment="1">
      <alignment/>
    </xf>
    <xf numFmtId="41" fontId="58" fillId="0" borderId="24" xfId="0" applyNumberFormat="1" applyFont="1" applyBorder="1" applyAlignment="1">
      <alignment/>
    </xf>
    <xf numFmtId="43" fontId="50" fillId="0" borderId="0" xfId="0" applyNumberFormat="1" applyFont="1" applyAlignment="1">
      <alignment/>
    </xf>
    <xf numFmtId="37" fontId="58" fillId="0" borderId="21" xfId="0" applyNumberFormat="1" applyFont="1" applyBorder="1" applyAlignment="1">
      <alignment/>
    </xf>
    <xf numFmtId="41" fontId="58" fillId="0" borderId="0" xfId="0" applyNumberFormat="1" applyFont="1" applyBorder="1" applyAlignment="1" quotePrefix="1">
      <alignment horizontal="left"/>
    </xf>
    <xf numFmtId="41" fontId="55" fillId="0" borderId="27" xfId="0" applyNumberFormat="1" applyFont="1" applyBorder="1" applyAlignment="1" quotePrefix="1">
      <alignment horizontal="center"/>
    </xf>
    <xf numFmtId="38" fontId="23" fillId="0" borderId="32" xfId="238" applyNumberFormat="1" applyFont="1" applyBorder="1" applyAlignment="1">
      <alignment/>
      <protection/>
    </xf>
    <xf numFmtId="38" fontId="7" fillId="0" borderId="21" xfId="0" applyFont="1" applyBorder="1" applyAlignment="1">
      <alignment/>
    </xf>
    <xf numFmtId="203" fontId="7" fillId="0" borderId="0" xfId="0" applyNumberFormat="1" applyFont="1" applyAlignment="1">
      <alignment horizontal="center"/>
    </xf>
    <xf numFmtId="37" fontId="53" fillId="52" borderId="0" xfId="0" applyNumberFormat="1" applyFont="1" applyFill="1" applyAlignment="1">
      <alignment horizontal="center"/>
    </xf>
    <xf numFmtId="166" fontId="50" fillId="0" borderId="0" xfId="0" applyNumberFormat="1" applyFont="1" applyAlignment="1">
      <alignment horizontal="center"/>
    </xf>
    <xf numFmtId="166" fontId="7" fillId="0" borderId="0" xfId="252" applyNumberFormat="1" applyFont="1" applyAlignment="1">
      <alignment horizontal="center"/>
    </xf>
    <xf numFmtId="191" fontId="53" fillId="0" borderId="0" xfId="0" applyNumberFormat="1" applyFont="1" applyAlignment="1">
      <alignment/>
    </xf>
    <xf numFmtId="166" fontId="53" fillId="0" borderId="43" xfId="0" applyNumberFormat="1" applyFont="1" applyBorder="1" applyAlignment="1">
      <alignment horizontal="center"/>
    </xf>
    <xf numFmtId="166" fontId="53" fillId="0" borderId="41" xfId="0" applyNumberFormat="1" applyFont="1" applyBorder="1" applyAlignment="1">
      <alignment horizontal="center"/>
    </xf>
    <xf numFmtId="197" fontId="7" fillId="0" borderId="0" xfId="0" applyNumberFormat="1" applyFont="1" applyAlignment="1">
      <alignment/>
    </xf>
    <xf numFmtId="41" fontId="58" fillId="0" borderId="0" xfId="0" applyNumberFormat="1" applyFont="1" applyBorder="1" applyAlignment="1">
      <alignment horizontal="left"/>
    </xf>
    <xf numFmtId="38" fontId="50" fillId="0" borderId="0" xfId="0" applyNumberFormat="1" applyFont="1" applyAlignment="1">
      <alignment/>
    </xf>
    <xf numFmtId="10" fontId="50" fillId="0" borderId="0" xfId="252" applyNumberFormat="1" applyFont="1" applyAlignment="1">
      <alignment/>
    </xf>
    <xf numFmtId="5" fontId="7" fillId="0" borderId="0" xfId="0" applyNumberFormat="1" applyFont="1" applyBorder="1" applyAlignment="1">
      <alignment/>
    </xf>
    <xf numFmtId="9" fontId="57" fillId="0" borderId="0" xfId="252" applyFont="1" applyAlignment="1">
      <alignment horizontal="center"/>
    </xf>
    <xf numFmtId="165" fontId="57" fillId="0" borderId="0" xfId="0" applyNumberFormat="1" applyFont="1" applyAlignment="1">
      <alignment horizontal="center"/>
    </xf>
    <xf numFmtId="5" fontId="4" fillId="0" borderId="0" xfId="0" applyNumberFormat="1" applyFont="1" applyBorder="1" applyAlignment="1">
      <alignment/>
    </xf>
    <xf numFmtId="5" fontId="7" fillId="0" borderId="21" xfId="0" applyNumberFormat="1" applyFont="1" applyBorder="1" applyAlignment="1">
      <alignment/>
    </xf>
    <xf numFmtId="5" fontId="7" fillId="0" borderId="21" xfId="0" applyNumberFormat="1" applyFont="1" applyBorder="1" applyAlignment="1">
      <alignment/>
    </xf>
    <xf numFmtId="188" fontId="7" fillId="0" borderId="21" xfId="0" applyNumberFormat="1" applyFont="1" applyBorder="1" applyAlignment="1">
      <alignment/>
    </xf>
    <xf numFmtId="5" fontId="4" fillId="0" borderId="21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7" fontId="7" fillId="0" borderId="21" xfId="0" applyNumberFormat="1" applyFont="1" applyBorder="1" applyAlignment="1">
      <alignment/>
    </xf>
    <xf numFmtId="5" fontId="4" fillId="0" borderId="36" xfId="0" applyNumberFormat="1" applyFont="1" applyBorder="1" applyAlignment="1">
      <alignment/>
    </xf>
    <xf numFmtId="38" fontId="7" fillId="52" borderId="27" xfId="0" applyFont="1" applyFill="1" applyBorder="1" applyAlignment="1">
      <alignment/>
    </xf>
    <xf numFmtId="38" fontId="7" fillId="0" borderId="32" xfId="0" applyFont="1" applyBorder="1" applyAlignment="1">
      <alignment/>
    </xf>
    <xf numFmtId="38" fontId="7" fillId="0" borderId="0" xfId="0" applyFont="1" applyBorder="1" applyAlignment="1">
      <alignment/>
    </xf>
    <xf numFmtId="5" fontId="7" fillId="0" borderId="0" xfId="0" applyNumberFormat="1" applyFont="1" applyBorder="1" applyAlignment="1">
      <alignment/>
    </xf>
    <xf numFmtId="38" fontId="4" fillId="0" borderId="32" xfId="0" applyFont="1" applyBorder="1" applyAlignment="1">
      <alignment/>
    </xf>
    <xf numFmtId="38" fontId="4" fillId="52" borderId="29" xfId="0" applyFont="1" applyFill="1" applyBorder="1" applyAlignment="1">
      <alignment/>
    </xf>
    <xf numFmtId="7" fontId="7" fillId="0" borderId="32" xfId="0" applyNumberFormat="1" applyFont="1" applyBorder="1" applyAlignment="1">
      <alignment/>
    </xf>
    <xf numFmtId="6" fontId="4" fillId="52" borderId="27" xfId="0" applyNumberFormat="1" applyFont="1" applyFill="1" applyBorder="1" applyAlignment="1">
      <alignment/>
    </xf>
    <xf numFmtId="6" fontId="4" fillId="52" borderId="36" xfId="0" applyNumberFormat="1" applyFont="1" applyFill="1" applyBorder="1" applyAlignment="1">
      <alignment/>
    </xf>
    <xf numFmtId="38" fontId="4" fillId="52" borderId="27" xfId="0" applyFont="1" applyFill="1" applyBorder="1" applyAlignment="1">
      <alignment/>
    </xf>
    <xf numFmtId="6" fontId="4" fillId="52" borderId="47" xfId="0" applyNumberFormat="1" applyFont="1" applyFill="1" applyBorder="1" applyAlignment="1">
      <alignment/>
    </xf>
    <xf numFmtId="38" fontId="0" fillId="0" borderId="0" xfId="0" applyFont="1" applyAlignment="1">
      <alignment/>
    </xf>
    <xf numFmtId="6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8" fontId="7" fillId="0" borderId="6" xfId="0" applyFont="1" applyBorder="1" applyAlignment="1">
      <alignment/>
    </xf>
    <xf numFmtId="38" fontId="7" fillId="0" borderId="27" xfId="0" applyFont="1" applyBorder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0" applyFont="1" applyFill="1" applyBorder="1" applyAlignment="1">
      <alignment/>
    </xf>
    <xf numFmtId="212" fontId="4" fillId="52" borderId="9" xfId="138" applyNumberFormat="1" applyFont="1" applyFill="1" applyBorder="1" applyAlignment="1">
      <alignment/>
    </xf>
    <xf numFmtId="212" fontId="4" fillId="52" borderId="6" xfId="138" applyNumberFormat="1" applyFont="1" applyFill="1" applyBorder="1" applyAlignment="1">
      <alignment/>
    </xf>
    <xf numFmtId="38" fontId="4" fillId="52" borderId="6" xfId="0" applyFont="1" applyFill="1" applyBorder="1" applyAlignment="1">
      <alignment/>
    </xf>
    <xf numFmtId="38" fontId="4" fillId="52" borderId="48" xfId="0" applyFont="1" applyFill="1" applyBorder="1" applyAlignment="1">
      <alignment/>
    </xf>
    <xf numFmtId="212" fontId="7" fillId="0" borderId="20" xfId="138" applyNumberFormat="1" applyFont="1" applyBorder="1" applyAlignment="1">
      <alignment/>
    </xf>
    <xf numFmtId="212" fontId="7" fillId="0" borderId="0" xfId="138" applyNumberFormat="1" applyFont="1" applyBorder="1" applyAlignment="1">
      <alignment/>
    </xf>
    <xf numFmtId="212" fontId="7" fillId="0" borderId="25" xfId="138" applyNumberFormat="1" applyFont="1" applyBorder="1" applyAlignment="1">
      <alignment/>
    </xf>
    <xf numFmtId="212" fontId="7" fillId="0" borderId="0" xfId="138" applyNumberFormat="1" applyFont="1" applyAlignment="1">
      <alignment/>
    </xf>
    <xf numFmtId="212" fontId="4" fillId="0" borderId="25" xfId="138" applyNumberFormat="1" applyFont="1" applyBorder="1" applyAlignment="1">
      <alignment/>
    </xf>
    <xf numFmtId="212" fontId="7" fillId="0" borderId="49" xfId="138" applyNumberFormat="1" applyFont="1" applyBorder="1" applyAlignment="1">
      <alignment/>
    </xf>
    <xf numFmtId="5" fontId="7" fillId="0" borderId="20" xfId="0" applyNumberFormat="1" applyFont="1" applyBorder="1" applyAlignment="1">
      <alignment/>
    </xf>
    <xf numFmtId="38" fontId="7" fillId="0" borderId="49" xfId="0" applyFont="1" applyBorder="1" applyAlignment="1">
      <alignment/>
    </xf>
    <xf numFmtId="37" fontId="7" fillId="0" borderId="43" xfId="0" applyNumberFormat="1" applyFont="1" applyBorder="1" applyAlignment="1">
      <alignment horizontal="center"/>
    </xf>
    <xf numFmtId="9" fontId="7" fillId="0" borderId="0" xfId="252" applyFont="1" applyAlignment="1">
      <alignment horizontal="center"/>
    </xf>
    <xf numFmtId="5" fontId="7" fillId="0" borderId="25" xfId="0" applyNumberFormat="1" applyFont="1" applyBorder="1" applyAlignment="1">
      <alignment/>
    </xf>
    <xf numFmtId="9" fontId="7" fillId="52" borderId="0" xfId="255" applyNumberFormat="1" applyFont="1" applyFill="1" applyAlignment="1">
      <alignment horizontal="center"/>
    </xf>
    <xf numFmtId="38" fontId="7" fillId="0" borderId="50" xfId="0" applyFont="1" applyBorder="1" applyAlignment="1">
      <alignment/>
    </xf>
    <xf numFmtId="38" fontId="7" fillId="0" borderId="51" xfId="0" applyFont="1" applyBorder="1" applyAlignment="1">
      <alignment/>
    </xf>
    <xf numFmtId="38" fontId="7" fillId="0" borderId="52" xfId="0" applyFont="1" applyBorder="1" applyAlignment="1">
      <alignment/>
    </xf>
    <xf numFmtId="38" fontId="7" fillId="0" borderId="53" xfId="0" applyFont="1" applyBorder="1" applyAlignment="1">
      <alignment/>
    </xf>
    <xf numFmtId="37" fontId="58" fillId="0" borderId="31" xfId="0" applyNumberFormat="1" applyFont="1" applyBorder="1" applyAlignment="1">
      <alignment/>
    </xf>
    <xf numFmtId="166" fontId="55" fillId="0" borderId="34" xfId="252" applyNumberFormat="1" applyFont="1" applyBorder="1" applyAlignment="1">
      <alignment/>
    </xf>
    <xf numFmtId="41" fontId="7" fillId="0" borderId="50" xfId="0" applyNumberFormat="1" applyFont="1" applyBorder="1" applyAlignment="1">
      <alignment/>
    </xf>
    <xf numFmtId="41" fontId="7" fillId="0" borderId="52" xfId="0" applyNumberFormat="1" applyFont="1" applyBorder="1" applyAlignment="1">
      <alignment/>
    </xf>
    <xf numFmtId="41" fontId="7" fillId="0" borderId="54" xfId="0" applyNumberFormat="1" applyFont="1" applyBorder="1" applyAlignment="1">
      <alignment/>
    </xf>
    <xf numFmtId="41" fontId="7" fillId="0" borderId="51" xfId="0" applyNumberFormat="1" applyFont="1" applyBorder="1" applyAlignment="1">
      <alignment/>
    </xf>
    <xf numFmtId="41" fontId="7" fillId="0" borderId="53" xfId="0" applyNumberFormat="1" applyFont="1" applyBorder="1" applyAlignment="1">
      <alignment/>
    </xf>
    <xf numFmtId="41" fontId="7" fillId="0" borderId="55" xfId="0" applyNumberFormat="1" applyFont="1" applyBorder="1" applyAlignment="1">
      <alignment/>
    </xf>
    <xf numFmtId="6" fontId="7" fillId="52" borderId="0" xfId="0" applyNumberFormat="1" applyFont="1" applyFill="1" applyAlignment="1">
      <alignment/>
    </xf>
    <xf numFmtId="6" fontId="4" fillId="52" borderId="6" xfId="138" applyNumberFormat="1" applyFont="1" applyFill="1" applyBorder="1" applyAlignment="1">
      <alignment/>
    </xf>
    <xf numFmtId="6" fontId="4" fillId="52" borderId="9" xfId="138" applyNumberFormat="1" applyFont="1" applyFill="1" applyBorder="1" applyAlignment="1">
      <alignment/>
    </xf>
    <xf numFmtId="38" fontId="7" fillId="0" borderId="56" xfId="0" applyFont="1" applyBorder="1" applyAlignment="1">
      <alignment/>
    </xf>
    <xf numFmtId="6" fontId="7" fillId="0" borderId="27" xfId="0" applyNumberFormat="1" applyFont="1" applyBorder="1" applyAlignment="1">
      <alignment/>
    </xf>
    <xf numFmtId="6" fontId="4" fillId="0" borderId="27" xfId="0" applyNumberFormat="1" applyFont="1" applyBorder="1" applyAlignment="1">
      <alignment/>
    </xf>
  </cellXfs>
  <cellStyles count="432">
    <cellStyle name="Normal" xfId="0"/>
    <cellStyle name="ColLevel_0" xfId="2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 Currency (0)" xfId="65"/>
    <cellStyle name="Calculation" xfId="66"/>
    <cellStyle name="Calculation 2" xfId="67"/>
    <cellStyle name="Check Cell" xfId="68"/>
    <cellStyle name="Check Cell 2" xfId="69"/>
    <cellStyle name="Column total in dollars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(0)" xfId="80"/>
    <cellStyle name="Comma [0]" xfId="81"/>
    <cellStyle name="Comma [0] 2" xfId="82"/>
    <cellStyle name="Comma 10" xfId="83"/>
    <cellStyle name="Comma 10 2" xfId="84"/>
    <cellStyle name="Comma 11" xfId="85"/>
    <cellStyle name="Comma 12" xfId="86"/>
    <cellStyle name="Comma 13" xfId="87"/>
    <cellStyle name="Comma 2" xfId="88"/>
    <cellStyle name="Comma 2 10" xfId="89"/>
    <cellStyle name="Comma 2 2" xfId="90"/>
    <cellStyle name="Comma 2 2 2" xfId="91"/>
    <cellStyle name="Comma 2 2 2 2" xfId="92"/>
    <cellStyle name="Comma 2 3" xfId="93"/>
    <cellStyle name="Comma 2 4" xfId="94"/>
    <cellStyle name="Comma 2 5" xfId="95"/>
    <cellStyle name="Comma 2 6" xfId="96"/>
    <cellStyle name="Comma 2 7" xfId="97"/>
    <cellStyle name="Comma 2 8" xfId="98"/>
    <cellStyle name="Comma 2 9" xfId="99"/>
    <cellStyle name="Comma 3" xfId="100"/>
    <cellStyle name="Comma 3 2" xfId="101"/>
    <cellStyle name="Comma 3 3" xfId="102"/>
    <cellStyle name="Comma 4" xfId="103"/>
    <cellStyle name="Comma 4 2" xfId="104"/>
    <cellStyle name="Comma 4 3" xfId="105"/>
    <cellStyle name="Comma 4 3 2" xfId="106"/>
    <cellStyle name="Comma 5" xfId="107"/>
    <cellStyle name="Comma 5 2" xfId="108"/>
    <cellStyle name="Comma 6" xfId="109"/>
    <cellStyle name="Comma 6 2" xfId="110"/>
    <cellStyle name="Comma 6 3" xfId="111"/>
    <cellStyle name="Comma 7" xfId="112"/>
    <cellStyle name="Comma 7 2" xfId="113"/>
    <cellStyle name="Comma 7 2 2" xfId="114"/>
    <cellStyle name="Comma 8" xfId="115"/>
    <cellStyle name="Comma 9" xfId="116"/>
    <cellStyle name="Comma0" xfId="117"/>
    <cellStyle name="Comma0 - Style1" xfId="118"/>
    <cellStyle name="Comma0 - Style2" xfId="119"/>
    <cellStyle name="Comma0 - Style3" xfId="120"/>
    <cellStyle name="Comma0 - Style4" xfId="121"/>
    <cellStyle name="Comma0_1st Qtr 2009 Global Insight Factors" xfId="122"/>
    <cellStyle name="Comma1 - Style1" xfId="123"/>
    <cellStyle name="Curren - Style2" xfId="124"/>
    <cellStyle name="Curren - Style3" xfId="125"/>
    <cellStyle name="Currency" xfId="126"/>
    <cellStyle name="Currency [0]" xfId="127"/>
    <cellStyle name="Currency 2" xfId="128"/>
    <cellStyle name="Currency 2 2" xfId="129"/>
    <cellStyle name="Currency 2 2 2" xfId="130"/>
    <cellStyle name="Currency 2 3" xfId="131"/>
    <cellStyle name="Currency 3" xfId="132"/>
    <cellStyle name="Currency 3 2" xfId="133"/>
    <cellStyle name="Currency 4" xfId="134"/>
    <cellStyle name="Currency 5" xfId="135"/>
    <cellStyle name="Currency 6" xfId="136"/>
    <cellStyle name="Currency 7" xfId="137"/>
    <cellStyle name="Currency 8" xfId="138"/>
    <cellStyle name="Currency No Comma" xfId="139"/>
    <cellStyle name="Currency(0)" xfId="140"/>
    <cellStyle name="Currency0" xfId="141"/>
    <cellStyle name="Date" xfId="142"/>
    <cellStyle name="Date - Style1" xfId="143"/>
    <cellStyle name="Date - Style3" xfId="144"/>
    <cellStyle name="Date_1st Qtr 2009 Global Insight Factors" xfId="145"/>
    <cellStyle name="Explanatory Text" xfId="146"/>
    <cellStyle name="Explanatory Text 2" xfId="147"/>
    <cellStyle name="Fixed" xfId="148"/>
    <cellStyle name="Fixed2 - Style2" xfId="149"/>
    <cellStyle name="Followed Hyperlink" xfId="150"/>
    <cellStyle name="General" xfId="151"/>
    <cellStyle name="Good" xfId="152"/>
    <cellStyle name="Good 2" xfId="153"/>
    <cellStyle name="Grey" xfId="154"/>
    <cellStyle name="Grey 2" xfId="155"/>
    <cellStyle name="header" xfId="156"/>
    <cellStyle name="Header1" xfId="157"/>
    <cellStyle name="Header2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eading1" xfId="167"/>
    <cellStyle name="Heading2" xfId="168"/>
    <cellStyle name="Hyperlink" xfId="169"/>
    <cellStyle name="Input" xfId="170"/>
    <cellStyle name="Input [yellow]" xfId="171"/>
    <cellStyle name="Input [yellow] 2" xfId="172"/>
    <cellStyle name="Input 2" xfId="173"/>
    <cellStyle name="Inst. Sections" xfId="174"/>
    <cellStyle name="Inst. Subheading" xfId="175"/>
    <cellStyle name="Linked Cell" xfId="176"/>
    <cellStyle name="Linked Cell 2" xfId="177"/>
    <cellStyle name="Marathon" xfId="178"/>
    <cellStyle name="MCP" xfId="179"/>
    <cellStyle name="Neutral" xfId="180"/>
    <cellStyle name="Neutral 2" xfId="181"/>
    <cellStyle name="nONE" xfId="182"/>
    <cellStyle name="noninput" xfId="183"/>
    <cellStyle name="noninput 2" xfId="184"/>
    <cellStyle name="noninput 3" xfId="185"/>
    <cellStyle name="Normal - Style1" xfId="186"/>
    <cellStyle name="Normal - Style2" xfId="187"/>
    <cellStyle name="Normal - Style3" xfId="188"/>
    <cellStyle name="Normal - Style4" xfId="189"/>
    <cellStyle name="Normal - Style5" xfId="190"/>
    <cellStyle name="Normal - Style6" xfId="191"/>
    <cellStyle name="Normal - Style7" xfId="192"/>
    <cellStyle name="Normal - Style8" xfId="193"/>
    <cellStyle name="Normal 10" xfId="194"/>
    <cellStyle name="Normal 10 2" xfId="195"/>
    <cellStyle name="Normal 10_UAE Surr. Exhibit RR 1.1SR, p.1" xfId="196"/>
    <cellStyle name="Normal 11" xfId="197"/>
    <cellStyle name="Normal 12" xfId="198"/>
    <cellStyle name="Normal 13" xfId="199"/>
    <cellStyle name="Normal 14" xfId="200"/>
    <cellStyle name="Normal 15" xfId="201"/>
    <cellStyle name="Normal 16" xfId="202"/>
    <cellStyle name="Normal 18" xfId="203"/>
    <cellStyle name="Normal 19" xfId="204"/>
    <cellStyle name="Normal 2" xfId="205"/>
    <cellStyle name="Normal 2 10" xfId="206"/>
    <cellStyle name="Normal 2 11" xfId="207"/>
    <cellStyle name="Normal 2 2" xfId="208"/>
    <cellStyle name="Normal 2 2 2" xfId="209"/>
    <cellStyle name="Normal 2 3" xfId="210"/>
    <cellStyle name="Normal 2 3 2" xfId="211"/>
    <cellStyle name="Normal 2 4" xfId="212"/>
    <cellStyle name="Normal 2 5" xfId="213"/>
    <cellStyle name="Normal 2 6" xfId="214"/>
    <cellStyle name="Normal 2 7" xfId="215"/>
    <cellStyle name="Normal 2 8" xfId="216"/>
    <cellStyle name="Normal 2 9" xfId="217"/>
    <cellStyle name="Normal 22" xfId="218"/>
    <cellStyle name="Normal 3" xfId="219"/>
    <cellStyle name="Normal 3 2" xfId="220"/>
    <cellStyle name="Normal 3 3" xfId="221"/>
    <cellStyle name="Normal 4" xfId="222"/>
    <cellStyle name="Normal 4 2" xfId="223"/>
    <cellStyle name="Normal 5" xfId="224"/>
    <cellStyle name="Normal 5 2" xfId="225"/>
    <cellStyle name="Normal 6" xfId="226"/>
    <cellStyle name="Normal 6 2" xfId="227"/>
    <cellStyle name="Normal 6 3" xfId="228"/>
    <cellStyle name="Normal 6 4" xfId="229"/>
    <cellStyle name="Normal 6 4 2" xfId="230"/>
    <cellStyle name="Normal 6 4_UAE Surr. Exhibit RR 1.1SR, p.1" xfId="231"/>
    <cellStyle name="Normal 7" xfId="232"/>
    <cellStyle name="Normal 7 2" xfId="233"/>
    <cellStyle name="Normal 8" xfId="234"/>
    <cellStyle name="Normal 8 2" xfId="235"/>
    <cellStyle name="Normal 9" xfId="236"/>
    <cellStyle name="Normal(0)" xfId="237"/>
    <cellStyle name="Normal_IJA Model" xfId="238"/>
    <cellStyle name="Normal_UT GRC - Allocation - CY 2008 _2008 02 20" xfId="239"/>
    <cellStyle name="Note" xfId="240"/>
    <cellStyle name="Note 2" xfId="241"/>
    <cellStyle name="Note 3" xfId="242"/>
    <cellStyle name="Number" xfId="243"/>
    <cellStyle name="Number 2" xfId="244"/>
    <cellStyle name="Output" xfId="245"/>
    <cellStyle name="Output 2" xfId="246"/>
    <cellStyle name="Output Amounts" xfId="247"/>
    <cellStyle name="Output Line Items" xfId="248"/>
    <cellStyle name="Password" xfId="249"/>
    <cellStyle name="Percen - Style1" xfId="250"/>
    <cellStyle name="Percen - Style2" xfId="251"/>
    <cellStyle name="Percent" xfId="252"/>
    <cellStyle name="Percent [2]" xfId="253"/>
    <cellStyle name="Percent 11" xfId="254"/>
    <cellStyle name="Percent 2" xfId="255"/>
    <cellStyle name="Percent 2 2" xfId="256"/>
    <cellStyle name="Percent 2 2 2" xfId="257"/>
    <cellStyle name="Percent 2 3" xfId="258"/>
    <cellStyle name="Percent 3" xfId="259"/>
    <cellStyle name="Percent 3 2" xfId="260"/>
    <cellStyle name="Percent 3 3" xfId="261"/>
    <cellStyle name="Percent 3 4" xfId="262"/>
    <cellStyle name="Percent 3 5" xfId="263"/>
    <cellStyle name="Percent 3 6" xfId="264"/>
    <cellStyle name="Percent 3 7" xfId="265"/>
    <cellStyle name="Percent 3 8" xfId="266"/>
    <cellStyle name="Percent 3 9" xfId="267"/>
    <cellStyle name="Percent 4" xfId="268"/>
    <cellStyle name="Percent 4 2" xfId="269"/>
    <cellStyle name="Percent 5" xfId="270"/>
    <cellStyle name="Percent 5 2" xfId="271"/>
    <cellStyle name="Percent 6" xfId="272"/>
    <cellStyle name="Percent 6 2" xfId="273"/>
    <cellStyle name="Percent 6 3" xfId="274"/>
    <cellStyle name="Percent 7" xfId="275"/>
    <cellStyle name="Percent(0)" xfId="276"/>
    <cellStyle name="SAPBEXaggData" xfId="277"/>
    <cellStyle name="SAPBEXaggDataEmph" xfId="278"/>
    <cellStyle name="SAPBEXaggItem" xfId="279"/>
    <cellStyle name="SAPBEXaggItem 2" xfId="280"/>
    <cellStyle name="SAPBEXaggItem 3" xfId="281"/>
    <cellStyle name="SAPBEXaggItem 4" xfId="282"/>
    <cellStyle name="SAPBEXaggItem 5" xfId="283"/>
    <cellStyle name="SAPBEXaggItem 6" xfId="284"/>
    <cellStyle name="SAPBEXaggItem_Copy of xSAPtemp5457" xfId="285"/>
    <cellStyle name="SAPBEXaggItemX" xfId="286"/>
    <cellStyle name="SAPBEXchaText" xfId="287"/>
    <cellStyle name="SAPBEXchaText 2" xfId="288"/>
    <cellStyle name="SAPBEXchaText 3" xfId="289"/>
    <cellStyle name="SAPBEXchaText 4" xfId="290"/>
    <cellStyle name="SAPBEXchaText 5" xfId="291"/>
    <cellStyle name="SAPBEXchaText 6" xfId="292"/>
    <cellStyle name="SAPBEXchaText_Copy of xSAPtemp5457" xfId="293"/>
    <cellStyle name="SAPBEXexcBad7" xfId="294"/>
    <cellStyle name="SAPBEXexcBad8" xfId="295"/>
    <cellStyle name="SAPBEXexcBad9" xfId="296"/>
    <cellStyle name="SAPBEXexcCritical4" xfId="297"/>
    <cellStyle name="SAPBEXexcCritical5" xfId="298"/>
    <cellStyle name="SAPBEXexcCritical6" xfId="299"/>
    <cellStyle name="SAPBEXexcGood1" xfId="300"/>
    <cellStyle name="SAPBEXexcGood2" xfId="301"/>
    <cellStyle name="SAPBEXexcGood3" xfId="302"/>
    <cellStyle name="SAPBEXfilterDrill" xfId="303"/>
    <cellStyle name="SAPBEXfilterItem" xfId="304"/>
    <cellStyle name="SAPBEXfilterItem 2" xfId="305"/>
    <cellStyle name="SAPBEXfilterItem 3" xfId="306"/>
    <cellStyle name="SAPBEXfilterItem 4" xfId="307"/>
    <cellStyle name="SAPBEXfilterItem 5" xfId="308"/>
    <cellStyle name="SAPBEXfilterItem 6" xfId="309"/>
    <cellStyle name="SAPBEXfilterItem_Copy of xSAPtemp5457" xfId="310"/>
    <cellStyle name="SAPBEXfilterText" xfId="311"/>
    <cellStyle name="SAPBEXfilterText 2" xfId="312"/>
    <cellStyle name="SAPBEXfilterText 3" xfId="313"/>
    <cellStyle name="SAPBEXfilterText 4" xfId="314"/>
    <cellStyle name="SAPBEXfilterText 5" xfId="315"/>
    <cellStyle name="SAPBEXformats" xfId="316"/>
    <cellStyle name="SAPBEXheaderItem" xfId="317"/>
    <cellStyle name="SAPBEXheaderItem 2" xfId="318"/>
    <cellStyle name="SAPBEXheaderItem 3" xfId="319"/>
    <cellStyle name="SAPBEXheaderItem 4" xfId="320"/>
    <cellStyle name="SAPBEXheaderItem 5" xfId="321"/>
    <cellStyle name="SAPBEXheaderItem 6" xfId="322"/>
    <cellStyle name="SAPBEXheaderItem 7" xfId="323"/>
    <cellStyle name="SAPBEXheaderItem_Copy of xSAPtemp5457" xfId="324"/>
    <cellStyle name="SAPBEXheaderText" xfId="325"/>
    <cellStyle name="SAPBEXheaderText 2" xfId="326"/>
    <cellStyle name="SAPBEXheaderText 3" xfId="327"/>
    <cellStyle name="SAPBEXheaderText 4" xfId="328"/>
    <cellStyle name="SAPBEXheaderText 5" xfId="329"/>
    <cellStyle name="SAPBEXheaderText 6" xfId="330"/>
    <cellStyle name="SAPBEXheaderText 7" xfId="331"/>
    <cellStyle name="SAPBEXheaderText_Copy of xSAPtemp5457" xfId="332"/>
    <cellStyle name="SAPBEXHLevel0" xfId="333"/>
    <cellStyle name="SAPBEXHLevel0 2" xfId="334"/>
    <cellStyle name="SAPBEXHLevel0 3" xfId="335"/>
    <cellStyle name="SAPBEXHLevel0 4" xfId="336"/>
    <cellStyle name="SAPBEXHLevel0 5" xfId="337"/>
    <cellStyle name="SAPBEXHLevel0_Sheet1" xfId="338"/>
    <cellStyle name="SAPBEXHLevel0X" xfId="339"/>
    <cellStyle name="SAPBEXHLevel0X 2" xfId="340"/>
    <cellStyle name="SAPBEXHLevel0X 3" xfId="341"/>
    <cellStyle name="SAPBEXHLevel0X 4" xfId="342"/>
    <cellStyle name="SAPBEXHLevel0X 5" xfId="343"/>
    <cellStyle name="SAPBEXHLevel0X_Sheet1" xfId="344"/>
    <cellStyle name="SAPBEXHLevel1" xfId="345"/>
    <cellStyle name="SAPBEXHLevel1 2" xfId="346"/>
    <cellStyle name="SAPBEXHLevel1 3" xfId="347"/>
    <cellStyle name="SAPBEXHLevel1 4" xfId="348"/>
    <cellStyle name="SAPBEXHLevel1 5" xfId="349"/>
    <cellStyle name="SAPBEXHLevel1_Sheet1" xfId="350"/>
    <cellStyle name="SAPBEXHLevel1X" xfId="351"/>
    <cellStyle name="SAPBEXHLevel1X 2" xfId="352"/>
    <cellStyle name="SAPBEXHLevel1X 3" xfId="353"/>
    <cellStyle name="SAPBEXHLevel1X 4" xfId="354"/>
    <cellStyle name="SAPBEXHLevel1X 5" xfId="355"/>
    <cellStyle name="SAPBEXHLevel1X_Sheet1" xfId="356"/>
    <cellStyle name="SAPBEXHLevel2" xfId="357"/>
    <cellStyle name="SAPBEXHLevel2 2" xfId="358"/>
    <cellStyle name="SAPBEXHLevel2 3" xfId="359"/>
    <cellStyle name="SAPBEXHLevel2 4" xfId="360"/>
    <cellStyle name="SAPBEXHLevel2 5" xfId="361"/>
    <cellStyle name="SAPBEXHLevel2_Sheet1" xfId="362"/>
    <cellStyle name="SAPBEXHLevel2X" xfId="363"/>
    <cellStyle name="SAPBEXHLevel2X 2" xfId="364"/>
    <cellStyle name="SAPBEXHLevel2X 3" xfId="365"/>
    <cellStyle name="SAPBEXHLevel2X 4" xfId="366"/>
    <cellStyle name="SAPBEXHLevel2X 5" xfId="367"/>
    <cellStyle name="SAPBEXHLevel2X_Sheet1" xfId="368"/>
    <cellStyle name="SAPBEXHLevel3" xfId="369"/>
    <cellStyle name="SAPBEXHLevel3 2" xfId="370"/>
    <cellStyle name="SAPBEXHLevel3 3" xfId="371"/>
    <cellStyle name="SAPBEXHLevel3 4" xfId="372"/>
    <cellStyle name="SAPBEXHLevel3 5" xfId="373"/>
    <cellStyle name="SAPBEXHLevel3_Sheet1" xfId="374"/>
    <cellStyle name="SAPBEXHLevel3X" xfId="375"/>
    <cellStyle name="SAPBEXHLevel3X 2" xfId="376"/>
    <cellStyle name="SAPBEXHLevel3X 3" xfId="377"/>
    <cellStyle name="SAPBEXHLevel3X 4" xfId="378"/>
    <cellStyle name="SAPBEXHLevel3X 5" xfId="379"/>
    <cellStyle name="SAPBEXHLevel3X_Sheet1" xfId="380"/>
    <cellStyle name="SAPBEXresData" xfId="381"/>
    <cellStyle name="SAPBEXresDataEmph" xfId="382"/>
    <cellStyle name="SAPBEXresItem" xfId="383"/>
    <cellStyle name="SAPBEXresItemX" xfId="384"/>
    <cellStyle name="SAPBEXstdData" xfId="385"/>
    <cellStyle name="SAPBEXstdData 2" xfId="386"/>
    <cellStyle name="SAPBEXstdData 3" xfId="387"/>
    <cellStyle name="SAPBEXstdData 4" xfId="388"/>
    <cellStyle name="SAPBEXstdData 5" xfId="389"/>
    <cellStyle name="SAPBEXstdData 6" xfId="390"/>
    <cellStyle name="SAPBEXstdData_Copy of xSAPtemp5457" xfId="391"/>
    <cellStyle name="SAPBEXstdDataEmph" xfId="392"/>
    <cellStyle name="SAPBEXstdItem" xfId="393"/>
    <cellStyle name="SAPBEXstdItem 2" xfId="394"/>
    <cellStyle name="SAPBEXstdItem 3" xfId="395"/>
    <cellStyle name="SAPBEXstdItem 4" xfId="396"/>
    <cellStyle name="SAPBEXstdItem 5" xfId="397"/>
    <cellStyle name="SAPBEXstdItem 6" xfId="398"/>
    <cellStyle name="SAPBEXstdItem_Copy of xSAPtemp5457" xfId="399"/>
    <cellStyle name="SAPBEXstdItemX" xfId="400"/>
    <cellStyle name="SAPBEXstdItemX 2" xfId="401"/>
    <cellStyle name="SAPBEXstdItemX 3" xfId="402"/>
    <cellStyle name="SAPBEXstdItemX 4" xfId="403"/>
    <cellStyle name="SAPBEXstdItemX 5" xfId="404"/>
    <cellStyle name="SAPBEXstdItemX 6" xfId="405"/>
    <cellStyle name="SAPBEXstdItemX_Copy of xSAPtemp5457" xfId="406"/>
    <cellStyle name="SAPBEXtitle" xfId="407"/>
    <cellStyle name="SAPBEXtitle 2" xfId="408"/>
    <cellStyle name="SAPBEXtitle 3" xfId="409"/>
    <cellStyle name="SAPBEXtitle 4" xfId="410"/>
    <cellStyle name="SAPBEXtitle 5" xfId="411"/>
    <cellStyle name="SAPBEXtitle 6" xfId="412"/>
    <cellStyle name="SAPBEXtitle 7" xfId="413"/>
    <cellStyle name="SAPBEXtitle_Copy of xSAPtemp5457" xfId="414"/>
    <cellStyle name="SAPBEXundefined" xfId="415"/>
    <cellStyle name="Shade" xfId="416"/>
    <cellStyle name="Special" xfId="417"/>
    <cellStyle name="STYL1 - Style1" xfId="418"/>
    <cellStyle name="Style 1" xfId="419"/>
    <cellStyle name="Style 27" xfId="420"/>
    <cellStyle name="Style 35" xfId="421"/>
    <cellStyle name="Style 35 2" xfId="422"/>
    <cellStyle name="Style 36" xfId="423"/>
    <cellStyle name="Style 36 2" xfId="424"/>
    <cellStyle name="Text" xfId="425"/>
    <cellStyle name="Title" xfId="426"/>
    <cellStyle name="Title 2" xfId="427"/>
    <cellStyle name="Titles" xfId="428"/>
    <cellStyle name="Titles 2" xfId="429"/>
    <cellStyle name="Titles_Compare EBA and GRC Rates for Utah Load Changes" xfId="430"/>
    <cellStyle name="Total" xfId="431"/>
    <cellStyle name="Total 2" xfId="432"/>
    <cellStyle name="Total2 - Style2" xfId="433"/>
    <cellStyle name="TRANSMISSION RELIABILITY PORTION OF PROJECT" xfId="434"/>
    <cellStyle name="Underl - Style4" xfId="435"/>
    <cellStyle name="UNLocked" xfId="436"/>
    <cellStyle name="Unprot" xfId="437"/>
    <cellStyle name="Unprot 2" xfId="438"/>
    <cellStyle name="Unprot 3" xfId="439"/>
    <cellStyle name="Unprot$" xfId="440"/>
    <cellStyle name="Unprot_Book4 (11) (2)" xfId="441"/>
    <cellStyle name="Unprotect" xfId="442"/>
    <cellStyle name="Warning Text" xfId="443"/>
    <cellStyle name="Warning Text 2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Unrecovered Net Power Costs (less Wheeling Revenue) in GRC and EBA</a:t>
            </a:r>
          </a:p>
        </c:rich>
      </c:tx>
      <c:layout>
        <c:manualLayout>
          <c:xMode val="factor"/>
          <c:yMode val="factor"/>
          <c:x val="0.024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5"/>
          <c:w val="0.9535"/>
          <c:h val="0.81075"/>
        </c:manualLayout>
      </c:layout>
      <c:lineChart>
        <c:grouping val="standard"/>
        <c:varyColors val="0"/>
        <c:ser>
          <c:idx val="0"/>
          <c:order val="0"/>
          <c:tx>
            <c:v>Actual less Forecast in GRC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EBA!$C$4:$N$4</c:f>
              <c:strCache>
                <c:ptCount val="12"/>
                <c:pt idx="0">
                  <c:v>Jul 11</c:v>
                </c:pt>
                <c:pt idx="1">
                  <c:v>Aug 11</c:v>
                </c:pt>
                <c:pt idx="2">
                  <c:v>Sep 11</c:v>
                </c:pt>
                <c:pt idx="3">
                  <c:v>Oct 11</c:v>
                </c:pt>
                <c:pt idx="4">
                  <c:v>Nov 11</c:v>
                </c:pt>
                <c:pt idx="5">
                  <c:v>Dec 11</c:v>
                </c:pt>
                <c:pt idx="6">
                  <c:v>Jan 12</c:v>
                </c:pt>
                <c:pt idx="7">
                  <c:v>Feb 12</c:v>
                </c:pt>
                <c:pt idx="8">
                  <c:v>Mar 12</c:v>
                </c:pt>
                <c:pt idx="9">
                  <c:v>Apr 12</c:v>
                </c:pt>
                <c:pt idx="10">
                  <c:v>May 12</c:v>
                </c:pt>
                <c:pt idx="11">
                  <c:v>Jun 12</c:v>
                </c:pt>
              </c:strCache>
            </c:strRef>
          </c:cat>
          <c:val>
            <c:numRef>
              <c:f>EBA!$C$32:$N$32</c:f>
              <c:numCache>
                <c:ptCount val="12"/>
                <c:pt idx="0">
                  <c:v>5273.290687184781</c:v>
                </c:pt>
                <c:pt idx="1">
                  <c:v>13510.080190166831</c:v>
                </c:pt>
                <c:pt idx="2">
                  <c:v>0.12909123301506042</c:v>
                </c:pt>
                <c:pt idx="3">
                  <c:v>0.24943873286247253</c:v>
                </c:pt>
                <c:pt idx="4">
                  <c:v>0.24019037932157516</c:v>
                </c:pt>
                <c:pt idx="5">
                  <c:v>0.18401676416397095</c:v>
                </c:pt>
                <c:pt idx="6">
                  <c:v>0.10735949873924255</c:v>
                </c:pt>
                <c:pt idx="7">
                  <c:v>0.1948605328798294</c:v>
                </c:pt>
                <c:pt idx="8">
                  <c:v>0.16403447091579437</c:v>
                </c:pt>
                <c:pt idx="9">
                  <c:v>0.18388497084379196</c:v>
                </c:pt>
                <c:pt idx="10">
                  <c:v>0.2714034914970398</c:v>
                </c:pt>
                <c:pt idx="11">
                  <c:v>0.15478383004665375</c:v>
                </c:pt>
              </c:numCache>
            </c:numRef>
          </c:val>
          <c:smooth val="0"/>
        </c:ser>
        <c:ser>
          <c:idx val="1"/>
          <c:order val="1"/>
          <c:tx>
            <c:v>Actual less Base in EBA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EBA!$C$4:$N$4</c:f>
              <c:strCache>
                <c:ptCount val="12"/>
                <c:pt idx="0">
                  <c:v>Jul 11</c:v>
                </c:pt>
                <c:pt idx="1">
                  <c:v>Aug 11</c:v>
                </c:pt>
                <c:pt idx="2">
                  <c:v>Sep 11</c:v>
                </c:pt>
                <c:pt idx="3">
                  <c:v>Oct 11</c:v>
                </c:pt>
                <c:pt idx="4">
                  <c:v>Nov 11</c:v>
                </c:pt>
                <c:pt idx="5">
                  <c:v>Dec 11</c:v>
                </c:pt>
                <c:pt idx="6">
                  <c:v>Jan 12</c:v>
                </c:pt>
                <c:pt idx="7">
                  <c:v>Feb 12</c:v>
                </c:pt>
                <c:pt idx="8">
                  <c:v>Mar 12</c:v>
                </c:pt>
                <c:pt idx="9">
                  <c:v>Apr 12</c:v>
                </c:pt>
                <c:pt idx="10">
                  <c:v>May 12</c:v>
                </c:pt>
                <c:pt idx="11">
                  <c:v>Jun 12</c:v>
                </c:pt>
              </c:strCache>
            </c:strRef>
          </c:cat>
          <c:val>
            <c:numRef>
              <c:f>EBA!$C$70:$N$70</c:f>
              <c:numCache>
                <c:ptCount val="12"/>
                <c:pt idx="0">
                  <c:v>507647.3115836866</c:v>
                </c:pt>
                <c:pt idx="1">
                  <c:v>13897.945272013545</c:v>
                </c:pt>
                <c:pt idx="2">
                  <c:v>0.13112785667181015</c:v>
                </c:pt>
                <c:pt idx="3">
                  <c:v>0.24751077592372894</c:v>
                </c:pt>
                <c:pt idx="4">
                  <c:v>0.2350328415632248</c:v>
                </c:pt>
                <c:pt idx="5">
                  <c:v>0.17539970576763153</c:v>
                </c:pt>
                <c:pt idx="6">
                  <c:v>0.10323498398065567</c:v>
                </c:pt>
                <c:pt idx="7">
                  <c:v>0.18954859673976898</c:v>
                </c:pt>
                <c:pt idx="8">
                  <c:v>0.16093895584344864</c:v>
                </c:pt>
                <c:pt idx="9">
                  <c:v>0.1846948191523552</c:v>
                </c:pt>
                <c:pt idx="10">
                  <c:v>0.2730903774499893</c:v>
                </c:pt>
                <c:pt idx="11">
                  <c:v>0.160519078373909</c:v>
                </c:pt>
              </c:numCache>
            </c:numRef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Utah-Allocated Net Power Cost ($)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\$#,##0_);[Red]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66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"/>
          <c:y val="0.9515"/>
          <c:w val="0.3225"/>
          <c:h val="0.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BEHR\LOCALS~1\Temp\XPgrpwise\Compare%20EBA%20and%20GRC%20Rates%20for%20Utah%20Load%20Increase%20-%20Nov%2010,%202011%20b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Forecast"/>
      <sheetName val="Utah Spike"/>
      <sheetName val="EBA"/>
      <sheetName val="Graph of Difference in Utah NPC"/>
      <sheetName val="Sheet1"/>
    </sheetNames>
    <sheetDataSet>
      <sheetData sheetId="2">
        <row r="53">
          <cell r="C53">
            <v>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4"/>
  <sheetViews>
    <sheetView zoomScale="90" zoomScaleNormal="90" zoomScalePageLayoutView="0" workbookViewId="0" topLeftCell="A1">
      <pane xSplit="2" ySplit="4" topLeftCell="L4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451" sqref="R451"/>
    </sheetView>
  </sheetViews>
  <sheetFormatPr defaultColWidth="9.140625" defaultRowHeight="12.75"/>
  <cols>
    <col min="1" max="1" width="35.57421875" style="3" customWidth="1"/>
    <col min="2" max="2" width="15.00390625" style="10" customWidth="1"/>
    <col min="3" max="3" width="13.7109375" style="50" customWidth="1"/>
    <col min="4" max="14" width="11.7109375" style="50" customWidth="1"/>
    <col min="15" max="15" width="13.421875" style="4" customWidth="1"/>
    <col min="16" max="16" width="11.7109375" style="49" customWidth="1"/>
    <col min="17" max="17" width="11.7109375" style="3" customWidth="1"/>
    <col min="18" max="18" width="13.421875" style="3" customWidth="1"/>
    <col min="19" max="19" width="10.421875" style="3" customWidth="1"/>
    <col min="20" max="16384" width="9.140625" style="3" customWidth="1"/>
  </cols>
  <sheetData>
    <row r="2" spans="1:19" ht="11.25">
      <c r="A2" s="41" t="s">
        <v>330</v>
      </c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84"/>
      <c r="Q2" s="40"/>
      <c r="R2" s="40"/>
      <c r="S2" s="40"/>
    </row>
    <row r="4" spans="1:16" ht="11.25">
      <c r="A4" s="2"/>
      <c r="B4" s="238"/>
      <c r="C4" s="52" t="s">
        <v>121</v>
      </c>
      <c r="D4" s="53" t="s">
        <v>122</v>
      </c>
      <c r="E4" s="53" t="s">
        <v>123</v>
      </c>
      <c r="F4" s="53" t="s">
        <v>124</v>
      </c>
      <c r="G4" s="53" t="s">
        <v>125</v>
      </c>
      <c r="H4" s="53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4" t="s">
        <v>132</v>
      </c>
      <c r="O4" s="31" t="s">
        <v>120</v>
      </c>
      <c r="P4" s="154" t="s">
        <v>309</v>
      </c>
    </row>
    <row r="5" spans="1:16" ht="11.25">
      <c r="A5" s="236" t="s">
        <v>133</v>
      </c>
      <c r="B5" s="237" t="s">
        <v>304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32"/>
      <c r="P5" s="154"/>
    </row>
    <row r="6" spans="2:15" ht="11.25">
      <c r="B6" s="29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2"/>
    </row>
    <row r="7" spans="1:15" ht="11.25">
      <c r="A7" s="3" t="s">
        <v>95</v>
      </c>
      <c r="B7" s="29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3"/>
    </row>
    <row r="8" spans="1:15" ht="11.25">
      <c r="A8" s="3" t="s">
        <v>96</v>
      </c>
      <c r="B8" s="2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33"/>
    </row>
    <row r="9" spans="1:16" ht="11.25">
      <c r="A9" s="3" t="s">
        <v>97</v>
      </c>
      <c r="B9" s="29" t="s">
        <v>24</v>
      </c>
      <c r="C9" s="61">
        <v>1072770.409</v>
      </c>
      <c r="D9" s="62">
        <v>1085429.535</v>
      </c>
      <c r="E9" s="62">
        <v>1063427.607</v>
      </c>
      <c r="F9" s="62">
        <v>1080389.8620000002</v>
      </c>
      <c r="G9" s="62">
        <v>1060944.527</v>
      </c>
      <c r="H9" s="62">
        <v>1084310.262</v>
      </c>
      <c r="I9" s="62">
        <v>1079149.8620000002</v>
      </c>
      <c r="J9" s="62">
        <v>1055669.1030000001</v>
      </c>
      <c r="K9" s="62">
        <v>1071850.305</v>
      </c>
      <c r="L9" s="62">
        <v>1064567.1269999999</v>
      </c>
      <c r="M9" s="62">
        <v>1078918.8879999998</v>
      </c>
      <c r="N9" s="63">
        <v>1029335.4539999999</v>
      </c>
      <c r="O9" s="162">
        <f>SUM(C9:N9)</f>
        <v>12826762.941000002</v>
      </c>
      <c r="P9" s="85"/>
    </row>
    <row r="10" spans="1:16" ht="11.25">
      <c r="A10" s="3" t="s">
        <v>98</v>
      </c>
      <c r="B10" s="29"/>
      <c r="C10" s="61">
        <v>129294.18</v>
      </c>
      <c r="D10" s="62">
        <v>122556.01</v>
      </c>
      <c r="E10" s="62">
        <v>161173.33</v>
      </c>
      <c r="F10" s="62">
        <v>235563.88</v>
      </c>
      <c r="G10" s="62">
        <v>296703.84</v>
      </c>
      <c r="H10" s="62">
        <v>347897.8</v>
      </c>
      <c r="I10" s="62">
        <v>340042.34</v>
      </c>
      <c r="J10" s="62">
        <v>294963.12</v>
      </c>
      <c r="K10" s="62">
        <v>276011.03</v>
      </c>
      <c r="L10" s="62">
        <v>214371.2</v>
      </c>
      <c r="M10" s="62">
        <v>202375.77</v>
      </c>
      <c r="N10" s="63">
        <v>164142.97</v>
      </c>
      <c r="O10" s="162">
        <f aca="true" t="shared" si="0" ref="O10:O18">SUM(C10:N10)</f>
        <v>2785095.4700000007</v>
      </c>
      <c r="P10" s="85"/>
    </row>
    <row r="11" spans="1:16" ht="11.25">
      <c r="A11" s="3" t="s">
        <v>99</v>
      </c>
      <c r="B11" s="29"/>
      <c r="C11" s="61">
        <v>1032.3542</v>
      </c>
      <c r="D11" s="62">
        <v>1032.3542</v>
      </c>
      <c r="E11" s="62">
        <v>1032.3605</v>
      </c>
      <c r="F11" s="62">
        <v>1032.3542</v>
      </c>
      <c r="G11" s="62">
        <v>1032.3605</v>
      </c>
      <c r="H11" s="62">
        <v>1032.3542</v>
      </c>
      <c r="I11" s="62">
        <v>1032.3542</v>
      </c>
      <c r="J11" s="62">
        <v>1032.3582</v>
      </c>
      <c r="K11" s="62">
        <v>1032.3542</v>
      </c>
      <c r="L11" s="62">
        <v>1032.3605</v>
      </c>
      <c r="M11" s="62">
        <v>1032.3542</v>
      </c>
      <c r="N11" s="63">
        <v>1032.3605</v>
      </c>
      <c r="O11" s="162">
        <f t="shared" si="0"/>
        <v>12388.2796</v>
      </c>
      <c r="P11" s="85"/>
    </row>
    <row r="12" spans="1:16" ht="11.25">
      <c r="A12" s="3" t="s">
        <v>100</v>
      </c>
      <c r="B12" s="29" t="s">
        <v>25</v>
      </c>
      <c r="C12" s="61">
        <v>2164955.2</v>
      </c>
      <c r="D12" s="62">
        <v>2164955.2</v>
      </c>
      <c r="E12" s="62">
        <v>2095115.4</v>
      </c>
      <c r="F12" s="62">
        <v>2164955.2</v>
      </c>
      <c r="G12" s="62">
        <v>2095115.4</v>
      </c>
      <c r="H12" s="62">
        <v>2164955.2</v>
      </c>
      <c r="I12" s="62">
        <v>2164955.2</v>
      </c>
      <c r="J12" s="62">
        <v>1955435.2</v>
      </c>
      <c r="K12" s="62">
        <v>2164955.2</v>
      </c>
      <c r="L12" s="62">
        <v>2095115.4</v>
      </c>
      <c r="M12" s="62">
        <v>2164955.2</v>
      </c>
      <c r="N12" s="63">
        <v>2095115.4</v>
      </c>
      <c r="O12" s="162">
        <f t="shared" si="0"/>
        <v>25490583.199999996</v>
      </c>
      <c r="P12" s="85"/>
    </row>
    <row r="13" spans="1:16" ht="11.25">
      <c r="A13" s="3" t="s">
        <v>101</v>
      </c>
      <c r="B13" s="29"/>
      <c r="C13" s="61">
        <v>951390</v>
      </c>
      <c r="D13" s="62">
        <v>1053690</v>
      </c>
      <c r="E13" s="62">
        <v>2423231.2</v>
      </c>
      <c r="F13" s="62">
        <v>3946680</v>
      </c>
      <c r="G13" s="62">
        <v>3762720</v>
      </c>
      <c r="H13" s="62">
        <v>4151412</v>
      </c>
      <c r="I13" s="62">
        <v>4170900</v>
      </c>
      <c r="J13" s="62">
        <v>3846392</v>
      </c>
      <c r="K13" s="62">
        <v>3977145</v>
      </c>
      <c r="L13" s="62">
        <v>3313920</v>
      </c>
      <c r="M13" s="62">
        <v>3527760</v>
      </c>
      <c r="N13" s="63">
        <v>2235888</v>
      </c>
      <c r="O13" s="162">
        <f t="shared" si="0"/>
        <v>37361128.2</v>
      </c>
      <c r="P13" s="85"/>
    </row>
    <row r="14" spans="1:16" ht="11.25">
      <c r="A14" s="3" t="s">
        <v>102</v>
      </c>
      <c r="B14" s="29"/>
      <c r="C14" s="61">
        <v>0</v>
      </c>
      <c r="D14" s="62">
        <v>0</v>
      </c>
      <c r="E14" s="62">
        <v>0</v>
      </c>
      <c r="F14" s="62">
        <v>2647596</v>
      </c>
      <c r="G14" s="62">
        <v>2826000</v>
      </c>
      <c r="H14" s="62">
        <v>3196404</v>
      </c>
      <c r="I14" s="62">
        <v>3014140</v>
      </c>
      <c r="J14" s="62">
        <v>2755200</v>
      </c>
      <c r="K14" s="62">
        <v>2748420</v>
      </c>
      <c r="L14" s="62">
        <v>2192255</v>
      </c>
      <c r="M14" s="62">
        <v>1827952</v>
      </c>
      <c r="N14" s="63">
        <v>1831744.5</v>
      </c>
      <c r="O14" s="162">
        <f t="shared" si="0"/>
        <v>23039711.5</v>
      </c>
      <c r="P14" s="85"/>
    </row>
    <row r="15" spans="1:16" ht="11.25">
      <c r="A15" s="3" t="s">
        <v>103</v>
      </c>
      <c r="B15" s="29"/>
      <c r="C15" s="61">
        <v>1570890.4</v>
      </c>
      <c r="D15" s="62">
        <v>1570890.2</v>
      </c>
      <c r="E15" s="62">
        <v>1474824.9</v>
      </c>
      <c r="F15" s="62">
        <v>1524110.2</v>
      </c>
      <c r="G15" s="62">
        <v>1443081.1</v>
      </c>
      <c r="H15" s="62">
        <v>1570890.1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0</v>
      </c>
      <c r="O15" s="162">
        <f t="shared" si="0"/>
        <v>9154686.9</v>
      </c>
      <c r="P15" s="85"/>
    </row>
    <row r="16" spans="1:16" ht="11.25">
      <c r="A16" s="3" t="s">
        <v>104</v>
      </c>
      <c r="B16" s="29"/>
      <c r="C16" s="61">
        <v>0</v>
      </c>
      <c r="D16" s="62">
        <v>0</v>
      </c>
      <c r="E16" s="62">
        <v>0</v>
      </c>
      <c r="F16" s="62">
        <v>1315560</v>
      </c>
      <c r="G16" s="62">
        <v>1254240</v>
      </c>
      <c r="H16" s="62">
        <v>1383804</v>
      </c>
      <c r="I16" s="62">
        <v>1390300</v>
      </c>
      <c r="J16" s="62">
        <v>1282125</v>
      </c>
      <c r="K16" s="62">
        <v>1325721</v>
      </c>
      <c r="L16" s="62">
        <v>1104640</v>
      </c>
      <c r="M16" s="62">
        <v>1175920</v>
      </c>
      <c r="N16" s="63">
        <v>1280112</v>
      </c>
      <c r="O16" s="162">
        <f t="shared" si="0"/>
        <v>11512422</v>
      </c>
      <c r="P16" s="85"/>
    </row>
    <row r="17" spans="1:16" ht="11.25">
      <c r="A17" s="3" t="s">
        <v>105</v>
      </c>
      <c r="B17" s="29" t="s">
        <v>24</v>
      </c>
      <c r="C17" s="61">
        <v>1446492</v>
      </c>
      <c r="D17" s="62">
        <v>1329996</v>
      </c>
      <c r="E17" s="62">
        <v>271824</v>
      </c>
      <c r="F17" s="62">
        <v>0</v>
      </c>
      <c r="G17" s="62">
        <v>0</v>
      </c>
      <c r="H17" s="62">
        <v>0</v>
      </c>
      <c r="I17" s="62">
        <v>1152825</v>
      </c>
      <c r="J17" s="62">
        <v>1077588</v>
      </c>
      <c r="K17" s="62">
        <v>881001</v>
      </c>
      <c r="L17" s="62">
        <v>885855</v>
      </c>
      <c r="M17" s="62">
        <v>698976</v>
      </c>
      <c r="N17" s="63">
        <v>759651</v>
      </c>
      <c r="O17" s="162">
        <f t="shared" si="0"/>
        <v>8504208</v>
      </c>
      <c r="P17" s="85"/>
    </row>
    <row r="18" spans="1:16" ht="11.25">
      <c r="A18" s="2" t="s">
        <v>106</v>
      </c>
      <c r="B18" s="13"/>
      <c r="C18" s="64">
        <v>1759803</v>
      </c>
      <c r="D18" s="65">
        <v>1400150.4</v>
      </c>
      <c r="E18" s="65">
        <v>792639.75</v>
      </c>
      <c r="F18" s="65">
        <v>593282.5</v>
      </c>
      <c r="G18" s="65">
        <v>582824.5</v>
      </c>
      <c r="H18" s="65">
        <v>593282.5</v>
      </c>
      <c r="I18" s="65">
        <v>593282.5</v>
      </c>
      <c r="J18" s="65">
        <v>572366.5</v>
      </c>
      <c r="K18" s="65">
        <v>593282.5</v>
      </c>
      <c r="L18" s="65">
        <v>545931</v>
      </c>
      <c r="M18" s="65">
        <v>571495</v>
      </c>
      <c r="N18" s="66">
        <v>917178.56</v>
      </c>
      <c r="O18" s="163">
        <f t="shared" si="0"/>
        <v>9515518.71</v>
      </c>
      <c r="P18" s="85"/>
    </row>
    <row r="19" spans="1:15" ht="11.25">
      <c r="A19" s="3" t="s">
        <v>107</v>
      </c>
      <c r="C19" s="58">
        <f aca="true" t="shared" si="1" ref="C19:N19">SUM(C9:C18)</f>
        <v>9096627.5432</v>
      </c>
      <c r="D19" s="59">
        <f t="shared" si="1"/>
        <v>8728699.6992</v>
      </c>
      <c r="E19" s="59">
        <f t="shared" si="1"/>
        <v>8283268.547499999</v>
      </c>
      <c r="F19" s="59">
        <f t="shared" si="1"/>
        <v>13509169.996199999</v>
      </c>
      <c r="G19" s="59">
        <f t="shared" si="1"/>
        <v>13322661.7275</v>
      </c>
      <c r="H19" s="59">
        <f t="shared" si="1"/>
        <v>14493988.2162</v>
      </c>
      <c r="I19" s="59">
        <f t="shared" si="1"/>
        <v>13906627.2562</v>
      </c>
      <c r="J19" s="59">
        <f t="shared" si="1"/>
        <v>12840771.2812</v>
      </c>
      <c r="K19" s="59">
        <f t="shared" si="1"/>
        <v>13039418.3892</v>
      </c>
      <c r="L19" s="59">
        <f t="shared" si="1"/>
        <v>11417687.087499999</v>
      </c>
      <c r="M19" s="59">
        <f t="shared" si="1"/>
        <v>11249385.2122</v>
      </c>
      <c r="N19" s="60">
        <f t="shared" si="1"/>
        <v>10314200.2445</v>
      </c>
      <c r="O19" s="80">
        <f>SUM(O9:O18)</f>
        <v>140202505.2006</v>
      </c>
    </row>
    <row r="20" spans="3:15" ht="11.25"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80"/>
    </row>
    <row r="21" spans="1:15" ht="11.25">
      <c r="A21" s="3" t="s">
        <v>64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0"/>
    </row>
    <row r="22" spans="1:16" ht="11.25">
      <c r="A22" s="3" t="s">
        <v>108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1176480</v>
      </c>
      <c r="J22" s="62">
        <v>1012320</v>
      </c>
      <c r="K22" s="62">
        <v>1067040</v>
      </c>
      <c r="L22" s="62">
        <v>0</v>
      </c>
      <c r="M22" s="62">
        <v>0</v>
      </c>
      <c r="N22" s="63">
        <v>0</v>
      </c>
      <c r="O22" s="162">
        <f aca="true" t="shared" si="2" ref="O22:O28">SUM(C22:N22)</f>
        <v>3255840</v>
      </c>
      <c r="P22" s="85"/>
    </row>
    <row r="23" spans="1:16" ht="11.25">
      <c r="A23" s="3" t="s">
        <v>109</v>
      </c>
      <c r="C23" s="61">
        <v>1290000</v>
      </c>
      <c r="D23" s="62">
        <v>1170000</v>
      </c>
      <c r="E23" s="62">
        <v>1200000</v>
      </c>
      <c r="F23" s="62">
        <v>1230000</v>
      </c>
      <c r="G23" s="62">
        <v>1200000</v>
      </c>
      <c r="H23" s="62">
        <v>1230000</v>
      </c>
      <c r="I23" s="62">
        <v>1502850</v>
      </c>
      <c r="J23" s="62">
        <v>1293150</v>
      </c>
      <c r="K23" s="62">
        <v>1363050</v>
      </c>
      <c r="L23" s="62">
        <v>0</v>
      </c>
      <c r="M23" s="62">
        <v>0</v>
      </c>
      <c r="N23" s="63">
        <v>0</v>
      </c>
      <c r="O23" s="162">
        <f t="shared" si="2"/>
        <v>11479050</v>
      </c>
      <c r="P23" s="85"/>
    </row>
    <row r="24" spans="1:16" ht="11.25">
      <c r="A24" s="3" t="s">
        <v>110</v>
      </c>
      <c r="C24" s="61">
        <v>714250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  <c r="O24" s="162">
        <f t="shared" si="2"/>
        <v>714250</v>
      </c>
      <c r="P24" s="85"/>
    </row>
    <row r="25" spans="1:16" ht="11.25">
      <c r="A25" s="3" t="s">
        <v>111</v>
      </c>
      <c r="C25" s="61">
        <v>397750</v>
      </c>
      <c r="D25" s="62">
        <v>360750</v>
      </c>
      <c r="E25" s="62">
        <v>832500</v>
      </c>
      <c r="F25" s="62">
        <v>1128800</v>
      </c>
      <c r="G25" s="62">
        <v>1094500</v>
      </c>
      <c r="H25" s="62">
        <v>1128800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162">
        <f t="shared" si="2"/>
        <v>4943100</v>
      </c>
      <c r="P25" s="85"/>
    </row>
    <row r="26" spans="1:16" ht="11.25">
      <c r="A26" s="3" t="s">
        <v>112</v>
      </c>
      <c r="C26" s="61">
        <v>0</v>
      </c>
      <c r="D26" s="62">
        <v>0</v>
      </c>
      <c r="E26" s="62">
        <v>830000</v>
      </c>
      <c r="F26" s="62">
        <v>1671800</v>
      </c>
      <c r="G26" s="62">
        <v>1607500</v>
      </c>
      <c r="H26" s="62">
        <v>1671800</v>
      </c>
      <c r="I26" s="62">
        <v>2355500</v>
      </c>
      <c r="J26" s="62">
        <v>3009500</v>
      </c>
      <c r="K26" s="62">
        <v>2369100</v>
      </c>
      <c r="L26" s="62">
        <v>3860000</v>
      </c>
      <c r="M26" s="62">
        <v>4007800</v>
      </c>
      <c r="N26" s="63">
        <v>3974800</v>
      </c>
      <c r="O26" s="162">
        <f t="shared" si="2"/>
        <v>25357800</v>
      </c>
      <c r="P26" s="85"/>
    </row>
    <row r="27" spans="1:16" ht="11.25">
      <c r="A27" s="3" t="s">
        <v>116</v>
      </c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162">
        <f t="shared" si="2"/>
        <v>0</v>
      </c>
      <c r="P27" s="85"/>
    </row>
    <row r="28" spans="1:16" ht="11.25">
      <c r="A28" s="2" t="s">
        <v>117</v>
      </c>
      <c r="B28" s="13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6">
        <v>0</v>
      </c>
      <c r="O28" s="163">
        <f t="shared" si="2"/>
        <v>0</v>
      </c>
      <c r="P28" s="85"/>
    </row>
    <row r="29" spans="1:15" ht="11.25">
      <c r="A29" s="3" t="s">
        <v>113</v>
      </c>
      <c r="C29" s="58">
        <f aca="true" t="shared" si="3" ref="C29:N29">SUM(C22:C28)</f>
        <v>2402000</v>
      </c>
      <c r="D29" s="59">
        <f t="shared" si="3"/>
        <v>1530750</v>
      </c>
      <c r="E29" s="59">
        <f t="shared" si="3"/>
        <v>2862500</v>
      </c>
      <c r="F29" s="59">
        <f t="shared" si="3"/>
        <v>4030600</v>
      </c>
      <c r="G29" s="59">
        <f t="shared" si="3"/>
        <v>3902000</v>
      </c>
      <c r="H29" s="59">
        <f t="shared" si="3"/>
        <v>4030600</v>
      </c>
      <c r="I29" s="59">
        <f t="shared" si="3"/>
        <v>5034830</v>
      </c>
      <c r="J29" s="59">
        <f t="shared" si="3"/>
        <v>5314970</v>
      </c>
      <c r="K29" s="59">
        <f t="shared" si="3"/>
        <v>4799190</v>
      </c>
      <c r="L29" s="59">
        <f t="shared" si="3"/>
        <v>3860000</v>
      </c>
      <c r="M29" s="59">
        <f t="shared" si="3"/>
        <v>4007800</v>
      </c>
      <c r="N29" s="60">
        <f t="shared" si="3"/>
        <v>3974800</v>
      </c>
      <c r="O29" s="80">
        <f>SUM(O22:O28)</f>
        <v>45750040</v>
      </c>
    </row>
    <row r="30" spans="3:15" ht="11.2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80"/>
    </row>
    <row r="31" spans="1:15" ht="11.25">
      <c r="A31" s="3" t="s">
        <v>65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80"/>
    </row>
    <row r="32" spans="1:16" ht="11.25">
      <c r="A32" s="3" t="s">
        <v>108</v>
      </c>
      <c r="C32" s="61">
        <v>1629794.9</v>
      </c>
      <c r="D32" s="62">
        <v>4605906</v>
      </c>
      <c r="E32" s="62">
        <v>4223937</v>
      </c>
      <c r="F32" s="62">
        <v>4891436.5</v>
      </c>
      <c r="G32" s="62">
        <v>7208540.5</v>
      </c>
      <c r="H32" s="62">
        <v>7458728.5</v>
      </c>
      <c r="I32" s="62">
        <v>5549120</v>
      </c>
      <c r="J32" s="62">
        <v>4197077</v>
      </c>
      <c r="K32" s="62">
        <v>4523329</v>
      </c>
      <c r="L32" s="62">
        <v>2663849.2</v>
      </c>
      <c r="M32" s="62">
        <v>281246.8</v>
      </c>
      <c r="N32" s="63">
        <v>496726.47</v>
      </c>
      <c r="O32" s="162">
        <f aca="true" t="shared" si="4" ref="O32:O38">SUM(C32:N32)</f>
        <v>47729691.87</v>
      </c>
      <c r="P32" s="85"/>
    </row>
    <row r="33" spans="1:16" ht="11.25">
      <c r="A33" s="3" t="s">
        <v>109</v>
      </c>
      <c r="C33" s="61">
        <v>10377591</v>
      </c>
      <c r="D33" s="62">
        <v>12319621</v>
      </c>
      <c r="E33" s="62">
        <v>7952793</v>
      </c>
      <c r="F33" s="62">
        <v>9134950</v>
      </c>
      <c r="G33" s="62">
        <v>6511407.5</v>
      </c>
      <c r="H33" s="62">
        <v>9627442</v>
      </c>
      <c r="I33" s="62">
        <v>6798242.5</v>
      </c>
      <c r="J33" s="62">
        <v>7748045.5</v>
      </c>
      <c r="K33" s="62">
        <v>5867974</v>
      </c>
      <c r="L33" s="62">
        <v>5839662</v>
      </c>
      <c r="M33" s="62">
        <v>4339882.5</v>
      </c>
      <c r="N33" s="63">
        <v>5356489.5</v>
      </c>
      <c r="O33" s="162">
        <f t="shared" si="4"/>
        <v>91874100.5</v>
      </c>
      <c r="P33" s="85"/>
    </row>
    <row r="34" spans="1:16" ht="11.25">
      <c r="A34" s="3" t="s">
        <v>110</v>
      </c>
      <c r="C34" s="61">
        <v>787890.2</v>
      </c>
      <c r="D34" s="62">
        <v>1871233.5</v>
      </c>
      <c r="E34" s="62">
        <v>6655260.5</v>
      </c>
      <c r="F34" s="62">
        <v>4946927.5</v>
      </c>
      <c r="G34" s="62">
        <v>7666481.5</v>
      </c>
      <c r="H34" s="62">
        <v>10079641</v>
      </c>
      <c r="I34" s="62">
        <v>3370006</v>
      </c>
      <c r="J34" s="62">
        <v>1181436.9</v>
      </c>
      <c r="K34" s="62">
        <v>1826599.6</v>
      </c>
      <c r="L34" s="62">
        <v>869858.94</v>
      </c>
      <c r="M34" s="62">
        <v>0</v>
      </c>
      <c r="N34" s="63">
        <v>7653.116</v>
      </c>
      <c r="O34" s="162">
        <f t="shared" si="4"/>
        <v>39262988.756</v>
      </c>
      <c r="P34" s="85"/>
    </row>
    <row r="35" spans="1:16" ht="11.25">
      <c r="A35" s="3" t="s">
        <v>111</v>
      </c>
      <c r="C35" s="61">
        <v>2765532.2</v>
      </c>
      <c r="D35" s="62">
        <v>4548214.5</v>
      </c>
      <c r="E35" s="62">
        <v>3558354.5</v>
      </c>
      <c r="F35" s="62">
        <v>2172966</v>
      </c>
      <c r="G35" s="62">
        <v>1289190</v>
      </c>
      <c r="H35" s="62">
        <v>1100472.4</v>
      </c>
      <c r="I35" s="62">
        <v>2305427.5</v>
      </c>
      <c r="J35" s="62">
        <v>1795227.2</v>
      </c>
      <c r="K35" s="62">
        <v>1135612.1</v>
      </c>
      <c r="L35" s="62">
        <v>103226.555</v>
      </c>
      <c r="M35" s="62">
        <v>876422.1</v>
      </c>
      <c r="N35" s="63">
        <v>1417290</v>
      </c>
      <c r="O35" s="162">
        <f t="shared" si="4"/>
        <v>23067935.055000003</v>
      </c>
      <c r="P35" s="85"/>
    </row>
    <row r="36" spans="1:16" ht="11.25">
      <c r="A36" s="3" t="s">
        <v>112</v>
      </c>
      <c r="C36" s="61">
        <v>7570456</v>
      </c>
      <c r="D36" s="62">
        <v>6210795</v>
      </c>
      <c r="E36" s="62">
        <v>6771073.5</v>
      </c>
      <c r="F36" s="62">
        <v>9260488</v>
      </c>
      <c r="G36" s="62">
        <v>7657511.5</v>
      </c>
      <c r="H36" s="62">
        <v>9229408</v>
      </c>
      <c r="I36" s="62">
        <v>9445686</v>
      </c>
      <c r="J36" s="62">
        <v>8268291.5</v>
      </c>
      <c r="K36" s="62">
        <v>11406278</v>
      </c>
      <c r="L36" s="62">
        <v>8961304</v>
      </c>
      <c r="M36" s="62">
        <v>6951290.5</v>
      </c>
      <c r="N36" s="63">
        <v>9880746</v>
      </c>
      <c r="O36" s="162">
        <f t="shared" si="4"/>
        <v>101613328</v>
      </c>
      <c r="P36" s="85"/>
    </row>
    <row r="37" spans="1:16" ht="11.25">
      <c r="A37" s="3" t="s">
        <v>118</v>
      </c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162">
        <f t="shared" si="4"/>
        <v>0</v>
      </c>
      <c r="P37" s="85"/>
    </row>
    <row r="38" spans="1:16" ht="11.25">
      <c r="A38" s="2" t="s">
        <v>119</v>
      </c>
      <c r="B38" s="13"/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6">
        <v>0</v>
      </c>
      <c r="O38" s="163">
        <f t="shared" si="4"/>
        <v>0</v>
      </c>
      <c r="P38" s="85"/>
    </row>
    <row r="39" spans="1:15" ht="11.25">
      <c r="A39" s="3" t="s">
        <v>114</v>
      </c>
      <c r="C39" s="58">
        <f aca="true" t="shared" si="5" ref="C39:N39">SUM(C32:C38)</f>
        <v>23131264.3</v>
      </c>
      <c r="D39" s="59">
        <f t="shared" si="5"/>
        <v>29555770</v>
      </c>
      <c r="E39" s="59">
        <f t="shared" si="5"/>
        <v>29161418.5</v>
      </c>
      <c r="F39" s="59">
        <f t="shared" si="5"/>
        <v>30406768</v>
      </c>
      <c r="G39" s="59">
        <f t="shared" si="5"/>
        <v>30333131</v>
      </c>
      <c r="H39" s="59">
        <f t="shared" si="5"/>
        <v>37495691.9</v>
      </c>
      <c r="I39" s="59">
        <f t="shared" si="5"/>
        <v>27468482</v>
      </c>
      <c r="J39" s="59">
        <f t="shared" si="5"/>
        <v>23190078.1</v>
      </c>
      <c r="K39" s="59">
        <f t="shared" si="5"/>
        <v>24759792.7</v>
      </c>
      <c r="L39" s="59">
        <f t="shared" si="5"/>
        <v>18437900.695</v>
      </c>
      <c r="M39" s="59">
        <f t="shared" si="5"/>
        <v>12448841.899999999</v>
      </c>
      <c r="N39" s="60">
        <f t="shared" si="5"/>
        <v>17158905.086</v>
      </c>
      <c r="O39" s="80">
        <f>SUM(O32:O38)</f>
        <v>303548044.181</v>
      </c>
    </row>
    <row r="40" spans="3:15" ht="11.25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0"/>
    </row>
    <row r="41" spans="1:15" ht="11.25">
      <c r="A41" s="6" t="s">
        <v>115</v>
      </c>
      <c r="B41" s="34"/>
      <c r="C41" s="67">
        <f aca="true" t="shared" si="6" ref="C41:N41">C19+C29+C39</f>
        <v>34629891.8432</v>
      </c>
      <c r="D41" s="68">
        <f t="shared" si="6"/>
        <v>39815219.699200004</v>
      </c>
      <c r="E41" s="68">
        <f t="shared" si="6"/>
        <v>40307187.0475</v>
      </c>
      <c r="F41" s="68">
        <f t="shared" si="6"/>
        <v>47946537.996199995</v>
      </c>
      <c r="G41" s="68">
        <f t="shared" si="6"/>
        <v>47557792.7275</v>
      </c>
      <c r="H41" s="68">
        <f t="shared" si="6"/>
        <v>56020280.1162</v>
      </c>
      <c r="I41" s="68">
        <f t="shared" si="6"/>
        <v>46409939.2562</v>
      </c>
      <c r="J41" s="68">
        <f t="shared" si="6"/>
        <v>41345819.3812</v>
      </c>
      <c r="K41" s="68">
        <f t="shared" si="6"/>
        <v>42598401.089200005</v>
      </c>
      <c r="L41" s="68">
        <f t="shared" si="6"/>
        <v>33715587.7825</v>
      </c>
      <c r="M41" s="68">
        <f t="shared" si="6"/>
        <v>27706027.1122</v>
      </c>
      <c r="N41" s="69">
        <f t="shared" si="6"/>
        <v>31447905.3305</v>
      </c>
      <c r="O41" s="81">
        <f>O19+O29+O39</f>
        <v>489500589.3816</v>
      </c>
    </row>
    <row r="42" spans="3:15" ht="11.2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80"/>
    </row>
    <row r="43" spans="3:15" ht="11.2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80"/>
    </row>
    <row r="44" spans="1:15" ht="11.25">
      <c r="A44" s="3" t="s">
        <v>134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80"/>
    </row>
    <row r="45" spans="1:15" ht="11.25">
      <c r="A45" s="3" t="s">
        <v>135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80"/>
    </row>
    <row r="46" spans="1:16" ht="11.25">
      <c r="A46" s="3" t="s">
        <v>136</v>
      </c>
      <c r="C46" s="61">
        <v>265067.97</v>
      </c>
      <c r="D46" s="62">
        <v>0</v>
      </c>
      <c r="E46" s="62">
        <v>0</v>
      </c>
      <c r="F46" s="62">
        <v>0</v>
      </c>
      <c r="G46" s="62">
        <v>187761.56</v>
      </c>
      <c r="H46" s="62">
        <v>0</v>
      </c>
      <c r="I46" s="62">
        <v>571973.75</v>
      </c>
      <c r="J46" s="62">
        <v>405565.16</v>
      </c>
      <c r="K46" s="62">
        <v>266136</v>
      </c>
      <c r="L46" s="62">
        <v>0</v>
      </c>
      <c r="M46" s="62">
        <v>0</v>
      </c>
      <c r="N46" s="63">
        <v>0</v>
      </c>
      <c r="O46" s="162">
        <f aca="true" t="shared" si="7" ref="O46:O74">SUM(C46:N46)</f>
        <v>1696504.44</v>
      </c>
      <c r="P46" s="85"/>
    </row>
    <row r="47" spans="1:16" ht="11.25">
      <c r="A47" s="3" t="s">
        <v>137</v>
      </c>
      <c r="C47" s="61">
        <v>2516.5752</v>
      </c>
      <c r="D47" s="62">
        <v>2516.5752</v>
      </c>
      <c r="E47" s="62">
        <v>2435.3936</v>
      </c>
      <c r="F47" s="62">
        <v>2516.5752</v>
      </c>
      <c r="G47" s="62">
        <v>2435.3936</v>
      </c>
      <c r="H47" s="62">
        <v>2516.5752</v>
      </c>
      <c r="I47" s="62">
        <v>2516.5752</v>
      </c>
      <c r="J47" s="62">
        <v>2354.212</v>
      </c>
      <c r="K47" s="62">
        <v>2516.5752</v>
      </c>
      <c r="L47" s="62">
        <v>0</v>
      </c>
      <c r="M47" s="62">
        <v>0</v>
      </c>
      <c r="N47" s="63">
        <v>0</v>
      </c>
      <c r="O47" s="162">
        <f t="shared" si="7"/>
        <v>22324.450399999998</v>
      </c>
      <c r="P47" s="85"/>
    </row>
    <row r="48" spans="1:16" ht="11.25">
      <c r="A48" s="3" t="s">
        <v>138</v>
      </c>
      <c r="C48" s="61">
        <v>26630.531000000003</v>
      </c>
      <c r="D48" s="62">
        <v>22844.341</v>
      </c>
      <c r="E48" s="62">
        <v>18464.8973</v>
      </c>
      <c r="F48" s="62">
        <v>23752.764</v>
      </c>
      <c r="G48" s="62">
        <v>19345.492</v>
      </c>
      <c r="H48" s="62">
        <v>15997.566600000002</v>
      </c>
      <c r="I48" s="62">
        <v>14936.677</v>
      </c>
      <c r="J48" s="62">
        <v>18305.996</v>
      </c>
      <c r="K48" s="62">
        <v>30081.879999999997</v>
      </c>
      <c r="L48" s="62">
        <v>22944.896999999997</v>
      </c>
      <c r="M48" s="62">
        <v>27885.314</v>
      </c>
      <c r="N48" s="63">
        <v>30792.263</v>
      </c>
      <c r="O48" s="162">
        <f t="shared" si="7"/>
        <v>271982.6189</v>
      </c>
      <c r="P48" s="85"/>
    </row>
    <row r="49" spans="1:16" ht="11.25">
      <c r="A49" s="3" t="s">
        <v>139</v>
      </c>
      <c r="C49" s="61">
        <v>378077.34</v>
      </c>
      <c r="D49" s="62">
        <v>375077.9</v>
      </c>
      <c r="E49" s="62">
        <v>357443.03</v>
      </c>
      <c r="F49" s="62">
        <v>383749.28</v>
      </c>
      <c r="G49" s="62">
        <v>427965.56</v>
      </c>
      <c r="H49" s="62">
        <v>312325.6</v>
      </c>
      <c r="I49" s="62">
        <v>483363.97</v>
      </c>
      <c r="J49" s="62">
        <v>326313.44</v>
      </c>
      <c r="K49" s="62">
        <v>558697.6</v>
      </c>
      <c r="L49" s="62">
        <v>393252.3</v>
      </c>
      <c r="M49" s="62">
        <v>365263.88</v>
      </c>
      <c r="N49" s="63">
        <v>439731.53</v>
      </c>
      <c r="O49" s="162">
        <f t="shared" si="7"/>
        <v>4801261.43</v>
      </c>
      <c r="P49" s="85"/>
    </row>
    <row r="50" spans="1:16" ht="11.25">
      <c r="A50" s="3" t="s">
        <v>140</v>
      </c>
      <c r="C50" s="61">
        <v>2703456</v>
      </c>
      <c r="D50" s="62">
        <v>2730226</v>
      </c>
      <c r="E50" s="62">
        <v>2676686</v>
      </c>
      <c r="F50" s="62">
        <v>2716841</v>
      </c>
      <c r="G50" s="62">
        <v>2743611</v>
      </c>
      <c r="H50" s="62">
        <v>2783766</v>
      </c>
      <c r="I50" s="62">
        <v>2859993</v>
      </c>
      <c r="J50" s="62">
        <v>2777475</v>
      </c>
      <c r="K50" s="62">
        <v>2859993</v>
      </c>
      <c r="L50" s="62">
        <v>2528205.5</v>
      </c>
      <c r="M50" s="62">
        <v>2545396</v>
      </c>
      <c r="N50" s="63">
        <v>2495543.2</v>
      </c>
      <c r="O50" s="162">
        <f t="shared" si="7"/>
        <v>32421191.7</v>
      </c>
      <c r="P50" s="85"/>
    </row>
    <row r="51" spans="1:16" ht="11.25">
      <c r="A51" s="3" t="s">
        <v>141</v>
      </c>
      <c r="B51" s="12" t="s">
        <v>28</v>
      </c>
      <c r="C51" s="61">
        <v>210044.27</v>
      </c>
      <c r="D51" s="62">
        <v>129585.94</v>
      </c>
      <c r="E51" s="62">
        <v>60015.336</v>
      </c>
      <c r="F51" s="62">
        <v>53515.676</v>
      </c>
      <c r="G51" s="62">
        <v>50762.215</v>
      </c>
      <c r="H51" s="62">
        <v>42355.383</v>
      </c>
      <c r="I51" s="62">
        <v>60582.402</v>
      </c>
      <c r="J51" s="62">
        <v>43574.12</v>
      </c>
      <c r="K51" s="62">
        <v>100467.46</v>
      </c>
      <c r="L51" s="62">
        <v>164531.7</v>
      </c>
      <c r="M51" s="62">
        <v>268204.66</v>
      </c>
      <c r="N51" s="63">
        <v>300840.12</v>
      </c>
      <c r="O51" s="162">
        <f t="shared" si="7"/>
        <v>1484479.2819999997</v>
      </c>
      <c r="P51" s="85"/>
    </row>
    <row r="52" spans="1:16" ht="11.25">
      <c r="A52" s="3" t="s">
        <v>142</v>
      </c>
      <c r="B52" s="12" t="s">
        <v>33</v>
      </c>
      <c r="C52" s="61">
        <v>228100</v>
      </c>
      <c r="D52" s="62">
        <v>238400</v>
      </c>
      <c r="E52" s="62">
        <v>228100</v>
      </c>
      <c r="F52" s="62">
        <v>250400</v>
      </c>
      <c r="G52" s="62">
        <v>283600</v>
      </c>
      <c r="H52" s="62">
        <v>231100</v>
      </c>
      <c r="I52" s="62">
        <v>231100</v>
      </c>
      <c r="J52" s="62">
        <v>228100</v>
      </c>
      <c r="K52" s="62">
        <v>237100</v>
      </c>
      <c r="L52" s="62">
        <v>228100</v>
      </c>
      <c r="M52" s="62">
        <v>228100</v>
      </c>
      <c r="N52" s="63">
        <v>228100</v>
      </c>
      <c r="O52" s="162">
        <f t="shared" si="7"/>
        <v>2840300</v>
      </c>
      <c r="P52" s="85"/>
    </row>
    <row r="53" spans="1:16" ht="11.25">
      <c r="A53" s="3" t="s">
        <v>38</v>
      </c>
      <c r="C53" s="61">
        <v>570665</v>
      </c>
      <c r="D53" s="62">
        <v>570665</v>
      </c>
      <c r="E53" s="62">
        <v>552257</v>
      </c>
      <c r="F53" s="62">
        <v>570665</v>
      </c>
      <c r="G53" s="62">
        <v>552257</v>
      </c>
      <c r="H53" s="62">
        <v>570665</v>
      </c>
      <c r="I53" s="62">
        <v>599644.9</v>
      </c>
      <c r="J53" s="62">
        <v>560956.9</v>
      </c>
      <c r="K53" s="62">
        <v>599644.9</v>
      </c>
      <c r="L53" s="62">
        <v>580300.9</v>
      </c>
      <c r="M53" s="62">
        <v>599644.9</v>
      </c>
      <c r="N53" s="63">
        <v>580300.9</v>
      </c>
      <c r="O53" s="162">
        <f t="shared" si="7"/>
        <v>6907667.400000001</v>
      </c>
      <c r="P53" s="85"/>
    </row>
    <row r="54" spans="1:16" ht="11.25">
      <c r="A54" s="3" t="s">
        <v>143</v>
      </c>
      <c r="B54" s="12" t="s">
        <v>29</v>
      </c>
      <c r="C54" s="61">
        <v>697495.9</v>
      </c>
      <c r="D54" s="62">
        <v>726745.56</v>
      </c>
      <c r="E54" s="62">
        <v>545909.9</v>
      </c>
      <c r="F54" s="62">
        <v>470664.88</v>
      </c>
      <c r="G54" s="62">
        <v>404520.66</v>
      </c>
      <c r="H54" s="62">
        <v>506873</v>
      </c>
      <c r="I54" s="62">
        <v>507263.28</v>
      </c>
      <c r="J54" s="62">
        <v>425221.5</v>
      </c>
      <c r="K54" s="62">
        <v>464582.5</v>
      </c>
      <c r="L54" s="62">
        <v>519071</v>
      </c>
      <c r="M54" s="62">
        <v>587022</v>
      </c>
      <c r="N54" s="63">
        <v>627744.4</v>
      </c>
      <c r="O54" s="162">
        <f t="shared" si="7"/>
        <v>6483114.58</v>
      </c>
      <c r="P54" s="85"/>
    </row>
    <row r="55" spans="1:16" ht="11.25">
      <c r="A55" s="3" t="s">
        <v>144</v>
      </c>
      <c r="C55" s="61">
        <v>5609252.519124788</v>
      </c>
      <c r="D55" s="62">
        <v>8491322.018653365</v>
      </c>
      <c r="E55" s="62">
        <v>7761126.7425917275</v>
      </c>
      <c r="F55" s="62">
        <v>8031649.195377415</v>
      </c>
      <c r="G55" s="62">
        <v>8021655.611035659</v>
      </c>
      <c r="H55" s="62">
        <v>8625342.884980356</v>
      </c>
      <c r="I55" s="62">
        <v>7667702.295882254</v>
      </c>
      <c r="J55" s="62">
        <v>6513766.878261903</v>
      </c>
      <c r="K55" s="62">
        <v>4514343.712728275</v>
      </c>
      <c r="L55" s="62">
        <v>4035659.744726209</v>
      </c>
      <c r="M55" s="62">
        <v>4035659.744726209</v>
      </c>
      <c r="N55" s="63">
        <v>4078041.2744608447</v>
      </c>
      <c r="O55" s="162">
        <f t="shared" si="7"/>
        <v>77385522.622549</v>
      </c>
      <c r="P55" s="85"/>
    </row>
    <row r="56" spans="1:16" ht="11.25">
      <c r="A56" s="3" t="s">
        <v>145</v>
      </c>
      <c r="C56" s="61">
        <v>12093.632</v>
      </c>
      <c r="D56" s="62">
        <v>12093.632</v>
      </c>
      <c r="E56" s="62">
        <v>12093.694</v>
      </c>
      <c r="F56" s="62">
        <v>12093.632</v>
      </c>
      <c r="G56" s="62">
        <v>12093.694</v>
      </c>
      <c r="H56" s="62">
        <v>12093.632</v>
      </c>
      <c r="I56" s="62">
        <v>12093.632</v>
      </c>
      <c r="J56" s="62">
        <v>12093.668</v>
      </c>
      <c r="K56" s="62">
        <v>12093.632</v>
      </c>
      <c r="L56" s="62">
        <v>12093.694</v>
      </c>
      <c r="M56" s="62">
        <v>12093.632</v>
      </c>
      <c r="N56" s="63">
        <v>12093.694</v>
      </c>
      <c r="O56" s="162">
        <f t="shared" si="7"/>
        <v>145123.868</v>
      </c>
      <c r="P56" s="85"/>
    </row>
    <row r="57" spans="1:16" ht="11.25">
      <c r="A57" s="3" t="s">
        <v>146</v>
      </c>
      <c r="B57" s="12" t="s">
        <v>36</v>
      </c>
      <c r="C57" s="61">
        <v>2164955.2</v>
      </c>
      <c r="D57" s="62">
        <v>2164955.2</v>
      </c>
      <c r="E57" s="62">
        <v>2095115.4</v>
      </c>
      <c r="F57" s="62">
        <v>2164955.2</v>
      </c>
      <c r="G57" s="62">
        <v>2095115.4</v>
      </c>
      <c r="H57" s="62">
        <v>2164955.2</v>
      </c>
      <c r="I57" s="62">
        <v>2164955.2</v>
      </c>
      <c r="J57" s="62">
        <v>1955435.2</v>
      </c>
      <c r="K57" s="62">
        <v>2164955.2</v>
      </c>
      <c r="L57" s="62">
        <v>2095115.4</v>
      </c>
      <c r="M57" s="62">
        <v>2164955.2</v>
      </c>
      <c r="N57" s="63">
        <v>2095115.4</v>
      </c>
      <c r="O57" s="162">
        <f t="shared" si="7"/>
        <v>25490583.199999996</v>
      </c>
      <c r="P57" s="85"/>
    </row>
    <row r="58" spans="1:16" ht="11.25">
      <c r="A58" s="3" t="s">
        <v>39</v>
      </c>
      <c r="C58" s="61">
        <v>1376616.9</v>
      </c>
      <c r="D58" s="62">
        <v>1402849.1</v>
      </c>
      <c r="E58" s="62">
        <v>480346.78</v>
      </c>
      <c r="F58" s="62">
        <v>390254.66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  <c r="O58" s="162">
        <f t="shared" si="7"/>
        <v>3650067.4400000004</v>
      </c>
      <c r="P58" s="85"/>
    </row>
    <row r="59" spans="1:16" ht="11.25">
      <c r="A59" s="3" t="s">
        <v>147</v>
      </c>
      <c r="C59" s="61">
        <v>387190</v>
      </c>
      <c r="D59" s="62">
        <v>387190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  <c r="O59" s="162">
        <f t="shared" si="7"/>
        <v>774380</v>
      </c>
      <c r="P59" s="85"/>
    </row>
    <row r="60" spans="1:16" ht="11.25">
      <c r="A60" s="3" t="s">
        <v>148</v>
      </c>
      <c r="C60" s="61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  <c r="O60" s="164">
        <f t="shared" si="7"/>
        <v>0</v>
      </c>
      <c r="P60" s="85"/>
    </row>
    <row r="61" spans="1:16" ht="11.25">
      <c r="A61" s="3" t="s">
        <v>149</v>
      </c>
      <c r="C61" s="61">
        <v>409020.03</v>
      </c>
      <c r="D61" s="62">
        <v>409020.03</v>
      </c>
      <c r="E61" s="62">
        <v>409020.03</v>
      </c>
      <c r="F61" s="62">
        <v>409020.03</v>
      </c>
      <c r="G61" s="62">
        <v>409020.03</v>
      </c>
      <c r="H61" s="62">
        <v>409020.03</v>
      </c>
      <c r="I61" s="62">
        <v>445110.03</v>
      </c>
      <c r="J61" s="62">
        <v>445110.03</v>
      </c>
      <c r="K61" s="62">
        <v>445110.03</v>
      </c>
      <c r="L61" s="62">
        <v>445110.03</v>
      </c>
      <c r="M61" s="62">
        <v>445110.03</v>
      </c>
      <c r="N61" s="63">
        <v>445110.03</v>
      </c>
      <c r="O61" s="162">
        <f t="shared" si="7"/>
        <v>5124780.360000001</v>
      </c>
      <c r="P61" s="85"/>
    </row>
    <row r="62" spans="1:16" ht="11.25">
      <c r="A62" s="3" t="s">
        <v>40</v>
      </c>
      <c r="C62" s="61">
        <v>510000</v>
      </c>
      <c r="D62" s="62">
        <v>510000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  <c r="O62" s="162">
        <f t="shared" si="7"/>
        <v>1020000</v>
      </c>
      <c r="P62" s="85"/>
    </row>
    <row r="63" spans="1:16" ht="11.25">
      <c r="A63" s="3" t="s">
        <v>41</v>
      </c>
      <c r="C63" s="61">
        <v>540000</v>
      </c>
      <c r="D63" s="62">
        <v>540000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  <c r="O63" s="162">
        <f t="shared" si="7"/>
        <v>1080000</v>
      </c>
      <c r="P63" s="85"/>
    </row>
    <row r="64" spans="1:16" ht="11.25">
      <c r="A64" s="3" t="s">
        <v>150</v>
      </c>
      <c r="C64" s="61">
        <v>416500</v>
      </c>
      <c r="D64" s="62">
        <v>416500</v>
      </c>
      <c r="E64" s="62">
        <v>416500</v>
      </c>
      <c r="F64" s="62">
        <v>416500</v>
      </c>
      <c r="G64" s="62">
        <v>416500</v>
      </c>
      <c r="H64" s="62">
        <v>416500</v>
      </c>
      <c r="I64" s="62">
        <v>455600</v>
      </c>
      <c r="J64" s="62">
        <v>455600</v>
      </c>
      <c r="K64" s="62">
        <v>455600</v>
      </c>
      <c r="L64" s="62">
        <v>455600</v>
      </c>
      <c r="M64" s="62">
        <v>455600</v>
      </c>
      <c r="N64" s="63">
        <v>455600</v>
      </c>
      <c r="O64" s="162">
        <f t="shared" si="7"/>
        <v>5232600</v>
      </c>
      <c r="P64" s="85"/>
    </row>
    <row r="65" spans="1:16" ht="11.25">
      <c r="A65" s="3" t="s">
        <v>151</v>
      </c>
      <c r="C65" s="61">
        <v>1415880</v>
      </c>
      <c r="D65" s="62">
        <v>1415880</v>
      </c>
      <c r="E65" s="62">
        <v>1415880</v>
      </c>
      <c r="F65" s="62">
        <v>1415880</v>
      </c>
      <c r="G65" s="62">
        <v>1415880</v>
      </c>
      <c r="H65" s="62">
        <v>1415880</v>
      </c>
      <c r="I65" s="62">
        <v>1415880</v>
      </c>
      <c r="J65" s="62">
        <v>1415880</v>
      </c>
      <c r="K65" s="62">
        <v>1415880</v>
      </c>
      <c r="L65" s="62">
        <v>1415880</v>
      </c>
      <c r="M65" s="62">
        <v>1415880</v>
      </c>
      <c r="N65" s="63">
        <v>1415880</v>
      </c>
      <c r="O65" s="162">
        <f t="shared" si="7"/>
        <v>16990560</v>
      </c>
      <c r="P65" s="85"/>
    </row>
    <row r="66" spans="1:16" ht="11.25">
      <c r="A66" s="3" t="s">
        <v>152</v>
      </c>
      <c r="B66" s="12" t="s">
        <v>29</v>
      </c>
      <c r="C66" s="61">
        <v>35000</v>
      </c>
      <c r="D66" s="62">
        <v>35000</v>
      </c>
      <c r="E66" s="62">
        <v>35000</v>
      </c>
      <c r="F66" s="62">
        <v>35000</v>
      </c>
      <c r="G66" s="62">
        <v>35000</v>
      </c>
      <c r="H66" s="62">
        <v>35000</v>
      </c>
      <c r="I66" s="62">
        <v>28750</v>
      </c>
      <c r="J66" s="62">
        <v>28750</v>
      </c>
      <c r="K66" s="62">
        <v>28750</v>
      </c>
      <c r="L66" s="62">
        <v>28750</v>
      </c>
      <c r="M66" s="62">
        <v>28750</v>
      </c>
      <c r="N66" s="63">
        <v>28750</v>
      </c>
      <c r="O66" s="162">
        <f t="shared" si="7"/>
        <v>382500</v>
      </c>
      <c r="P66" s="85"/>
    </row>
    <row r="67" spans="1:16" ht="11.25">
      <c r="A67" s="3" t="s">
        <v>153</v>
      </c>
      <c r="C67" s="61">
        <v>197811.84</v>
      </c>
      <c r="D67" s="62">
        <v>239057.56</v>
      </c>
      <c r="E67" s="62">
        <v>310515.1</v>
      </c>
      <c r="F67" s="62">
        <v>445041.1</v>
      </c>
      <c r="G67" s="62">
        <v>605478.4</v>
      </c>
      <c r="H67" s="62">
        <v>623408.3</v>
      </c>
      <c r="I67" s="62">
        <v>614814.2</v>
      </c>
      <c r="J67" s="62">
        <v>502776.9</v>
      </c>
      <c r="K67" s="62">
        <v>490686.94</v>
      </c>
      <c r="L67" s="62">
        <v>384294.84</v>
      </c>
      <c r="M67" s="62">
        <v>367660.44</v>
      </c>
      <c r="N67" s="63">
        <v>277469.62</v>
      </c>
      <c r="O67" s="162">
        <f t="shared" si="7"/>
        <v>5059015.24</v>
      </c>
      <c r="P67" s="85"/>
    </row>
    <row r="68" spans="1:16" ht="11.25">
      <c r="A68" s="3" t="s">
        <v>154</v>
      </c>
      <c r="C68" s="61">
        <v>740872.75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  <c r="O68" s="162">
        <f t="shared" si="7"/>
        <v>740872.75</v>
      </c>
      <c r="P68" s="85"/>
    </row>
    <row r="69" spans="1:16" ht="11.25">
      <c r="A69" s="3" t="s">
        <v>66</v>
      </c>
      <c r="B69" s="210" t="s">
        <v>311</v>
      </c>
      <c r="C69" s="61">
        <v>50981.656</v>
      </c>
      <c r="D69" s="62">
        <v>51588.14</v>
      </c>
      <c r="E69" s="62">
        <v>50565.21</v>
      </c>
      <c r="F69" s="62">
        <v>62007.79</v>
      </c>
      <c r="G69" s="62">
        <v>67171.01</v>
      </c>
      <c r="H69" s="62">
        <v>90309.31</v>
      </c>
      <c r="I69" s="62">
        <v>84944.41</v>
      </c>
      <c r="J69" s="62">
        <v>69271.695</v>
      </c>
      <c r="K69" s="62">
        <v>63446.297</v>
      </c>
      <c r="L69" s="62">
        <v>57715.26</v>
      </c>
      <c r="M69" s="62">
        <v>50603.402</v>
      </c>
      <c r="N69" s="63">
        <v>46102.297</v>
      </c>
      <c r="O69" s="162">
        <f t="shared" si="7"/>
        <v>744706.477</v>
      </c>
      <c r="P69" s="85"/>
    </row>
    <row r="70" spans="1:16" ht="11.25">
      <c r="A70" s="3" t="s">
        <v>155</v>
      </c>
      <c r="B70" s="210" t="s">
        <v>312</v>
      </c>
      <c r="C70" s="61">
        <v>2075.9885</v>
      </c>
      <c r="D70" s="62">
        <v>1616.9918</v>
      </c>
      <c r="E70" s="62">
        <v>9404.005</v>
      </c>
      <c r="F70" s="62">
        <v>1549.007</v>
      </c>
      <c r="G70" s="62">
        <v>1969.9861</v>
      </c>
      <c r="H70" s="62">
        <v>1068.9985</v>
      </c>
      <c r="I70" s="62">
        <v>623.99866</v>
      </c>
      <c r="J70" s="62">
        <v>810.0048</v>
      </c>
      <c r="K70" s="62">
        <v>346.00217</v>
      </c>
      <c r="L70" s="62">
        <v>1895.0083</v>
      </c>
      <c r="M70" s="62">
        <v>6389.0215</v>
      </c>
      <c r="N70" s="63">
        <v>1337.9922</v>
      </c>
      <c r="O70" s="162">
        <f t="shared" si="7"/>
        <v>29087.004530000002</v>
      </c>
      <c r="P70" s="85"/>
    </row>
    <row r="71" spans="1:16" ht="11.25">
      <c r="A71" s="3" t="s">
        <v>156</v>
      </c>
      <c r="C71" s="61">
        <v>1054440</v>
      </c>
      <c r="D71" s="62">
        <v>1080204</v>
      </c>
      <c r="E71" s="62">
        <v>1422073.1</v>
      </c>
      <c r="F71" s="62">
        <v>1786072.4</v>
      </c>
      <c r="G71" s="62">
        <v>2006038.8</v>
      </c>
      <c r="H71" s="62">
        <v>2405043.2</v>
      </c>
      <c r="I71" s="62">
        <v>2306649.5</v>
      </c>
      <c r="J71" s="62">
        <v>1654906.6</v>
      </c>
      <c r="K71" s="62">
        <v>2349690.8</v>
      </c>
      <c r="L71" s="62">
        <v>1692947.4</v>
      </c>
      <c r="M71" s="62">
        <v>1714438.2</v>
      </c>
      <c r="N71" s="63">
        <v>1182987</v>
      </c>
      <c r="O71" s="162">
        <f t="shared" si="7"/>
        <v>20655490.999999996</v>
      </c>
      <c r="P71" s="85"/>
    </row>
    <row r="72" spans="1:16" ht="11.25">
      <c r="A72" s="3" t="s">
        <v>157</v>
      </c>
      <c r="C72" s="61">
        <v>1930628.6</v>
      </c>
      <c r="D72" s="62">
        <v>2085897</v>
      </c>
      <c r="E72" s="62">
        <v>2260700.5</v>
      </c>
      <c r="F72" s="62">
        <v>2894540.2</v>
      </c>
      <c r="G72" s="62">
        <v>4235119.5</v>
      </c>
      <c r="H72" s="62">
        <v>5561978.5</v>
      </c>
      <c r="I72" s="62">
        <v>5294292</v>
      </c>
      <c r="J72" s="62">
        <v>4136215.5</v>
      </c>
      <c r="K72" s="62">
        <v>3807444.5</v>
      </c>
      <c r="L72" s="62">
        <v>3097120.5</v>
      </c>
      <c r="M72" s="62">
        <v>2664390.2</v>
      </c>
      <c r="N72" s="63">
        <v>2419137.8</v>
      </c>
      <c r="O72" s="162">
        <f t="shared" si="7"/>
        <v>40387464.8</v>
      </c>
      <c r="P72" s="85"/>
    </row>
    <row r="73" spans="1:16" ht="11.25">
      <c r="A73" s="3" t="s">
        <v>158</v>
      </c>
      <c r="C73" s="61">
        <v>825263.1</v>
      </c>
      <c r="D73" s="62">
        <v>828031.8</v>
      </c>
      <c r="E73" s="62">
        <v>765173.6</v>
      </c>
      <c r="F73" s="62">
        <v>780568.6</v>
      </c>
      <c r="G73" s="62">
        <v>769919.9</v>
      </c>
      <c r="H73" s="62">
        <v>833173.7</v>
      </c>
      <c r="I73" s="62">
        <v>826449.7</v>
      </c>
      <c r="J73" s="62">
        <v>813854</v>
      </c>
      <c r="K73" s="62">
        <v>836337.94</v>
      </c>
      <c r="L73" s="62">
        <v>702285.5</v>
      </c>
      <c r="M73" s="62">
        <v>751299.75</v>
      </c>
      <c r="N73" s="63">
        <v>803539.7</v>
      </c>
      <c r="O73" s="162">
        <f t="shared" si="7"/>
        <v>9535897.29</v>
      </c>
      <c r="P73" s="85"/>
    </row>
    <row r="74" spans="1:16" ht="11.25">
      <c r="A74" s="2" t="s">
        <v>159</v>
      </c>
      <c r="B74" s="13"/>
      <c r="C74" s="64">
        <v>818630.44</v>
      </c>
      <c r="D74" s="65">
        <v>768185.7</v>
      </c>
      <c r="E74" s="65">
        <v>714643</v>
      </c>
      <c r="F74" s="65">
        <v>618531.1</v>
      </c>
      <c r="G74" s="65">
        <v>809100.94</v>
      </c>
      <c r="H74" s="65">
        <v>644587.2</v>
      </c>
      <c r="I74" s="65">
        <v>737074.1</v>
      </c>
      <c r="J74" s="65">
        <v>601978.94</v>
      </c>
      <c r="K74" s="65">
        <v>1158511.6</v>
      </c>
      <c r="L74" s="65">
        <v>1114796.8</v>
      </c>
      <c r="M74" s="65">
        <v>1086388</v>
      </c>
      <c r="N74" s="66">
        <v>846625.75</v>
      </c>
      <c r="O74" s="163">
        <f t="shared" si="7"/>
        <v>9919053.57</v>
      </c>
      <c r="P74" s="85"/>
    </row>
    <row r="75" spans="1:15" ht="11.25">
      <c r="A75" s="3" t="s">
        <v>160</v>
      </c>
      <c r="C75" s="58">
        <f aca="true" t="shared" si="8" ref="C75:N75">SUM(C46:C74)</f>
        <v>23579266.24182479</v>
      </c>
      <c r="D75" s="59">
        <f t="shared" si="8"/>
        <v>25635452.488653366</v>
      </c>
      <c r="E75" s="59">
        <f t="shared" si="8"/>
        <v>22599468.71849173</v>
      </c>
      <c r="F75" s="59">
        <f t="shared" si="8"/>
        <v>23935768.089577418</v>
      </c>
      <c r="G75" s="59">
        <f t="shared" si="8"/>
        <v>25572322.151735656</v>
      </c>
      <c r="H75" s="59">
        <f t="shared" si="8"/>
        <v>27703960.080280356</v>
      </c>
      <c r="I75" s="59">
        <f t="shared" si="8"/>
        <v>27386313.62074225</v>
      </c>
      <c r="J75" s="59">
        <f t="shared" si="8"/>
        <v>23394315.744061902</v>
      </c>
      <c r="K75" s="59">
        <f t="shared" si="8"/>
        <v>22862416.569098275</v>
      </c>
      <c r="L75" s="59">
        <f t="shared" si="8"/>
        <v>19975670.47402621</v>
      </c>
      <c r="M75" s="59">
        <f t="shared" si="8"/>
        <v>19820734.37422621</v>
      </c>
      <c r="N75" s="60">
        <f t="shared" si="8"/>
        <v>18810842.970660843</v>
      </c>
      <c r="O75" s="80">
        <f>SUM(O46:O74)</f>
        <v>281276531.523379</v>
      </c>
    </row>
    <row r="76" spans="3:15" ht="11.25"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80"/>
    </row>
    <row r="77" spans="1:16" ht="11.25">
      <c r="A77" s="2" t="s">
        <v>84</v>
      </c>
      <c r="B77" s="13"/>
      <c r="C77" s="7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2">
        <v>0</v>
      </c>
      <c r="O77" s="79">
        <v>0</v>
      </c>
      <c r="P77" s="85"/>
    </row>
    <row r="78" spans="1:15" ht="11.25">
      <c r="A78" s="3" t="s">
        <v>189</v>
      </c>
      <c r="C78" s="58">
        <f aca="true" t="shared" si="9" ref="C78:N78">SUM(C77)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60">
        <f t="shared" si="9"/>
        <v>0</v>
      </c>
      <c r="O78" s="80">
        <f>SUM(O77)</f>
        <v>0</v>
      </c>
    </row>
    <row r="79" spans="3:15" ht="11.25"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80"/>
    </row>
    <row r="80" spans="3:15" ht="11.25"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80"/>
    </row>
    <row r="81" spans="1:15" ht="11.25">
      <c r="A81" s="3" t="s">
        <v>161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80"/>
    </row>
    <row r="82" spans="1:16" ht="11.25">
      <c r="A82" s="3" t="s">
        <v>67</v>
      </c>
      <c r="B82" s="14" t="s">
        <v>30</v>
      </c>
      <c r="C82" s="61">
        <v>153203.87</v>
      </c>
      <c r="D82" s="62">
        <v>74823.18000000001</v>
      </c>
      <c r="E82" s="62">
        <v>62844.06</v>
      </c>
      <c r="F82" s="62">
        <v>59468.060000000005</v>
      </c>
      <c r="G82" s="62">
        <v>89545.78</v>
      </c>
      <c r="H82" s="62">
        <v>201063.24000000002</v>
      </c>
      <c r="I82" s="62">
        <v>409409.79</v>
      </c>
      <c r="J82" s="62">
        <v>508143.72</v>
      </c>
      <c r="K82" s="62">
        <v>643901.75</v>
      </c>
      <c r="L82" s="62">
        <v>739422.92</v>
      </c>
      <c r="M82" s="62">
        <v>742921.19</v>
      </c>
      <c r="N82" s="63">
        <v>544079.81</v>
      </c>
      <c r="O82" s="162">
        <f aca="true" t="shared" si="10" ref="O82:O106">SUM(C82:N82)</f>
        <v>4228827.37</v>
      </c>
      <c r="P82" s="85"/>
    </row>
    <row r="83" spans="1:16" ht="11.25">
      <c r="A83" s="3" t="s">
        <v>68</v>
      </c>
      <c r="B83" s="14" t="s">
        <v>34</v>
      </c>
      <c r="C83" s="61">
        <v>539283.09</v>
      </c>
      <c r="D83" s="62">
        <v>441400.79</v>
      </c>
      <c r="E83" s="62">
        <v>396295.29000000004</v>
      </c>
      <c r="F83" s="62">
        <v>424142.37</v>
      </c>
      <c r="G83" s="62">
        <v>411036.17000000004</v>
      </c>
      <c r="H83" s="62">
        <v>401998.68</v>
      </c>
      <c r="I83" s="62">
        <v>371638.81</v>
      </c>
      <c r="J83" s="62">
        <v>359221.62</v>
      </c>
      <c r="K83" s="62">
        <v>412146.17</v>
      </c>
      <c r="L83" s="62">
        <v>449577.11</v>
      </c>
      <c r="M83" s="62">
        <v>539075.77</v>
      </c>
      <c r="N83" s="63">
        <v>584948.0900000001</v>
      </c>
      <c r="O83" s="162">
        <f t="shared" si="10"/>
        <v>5330763.960000001</v>
      </c>
      <c r="P83" s="85"/>
    </row>
    <row r="84" spans="1:16" ht="11.25">
      <c r="A84" s="3" t="s">
        <v>69</v>
      </c>
      <c r="B84" s="14" t="s">
        <v>30</v>
      </c>
      <c r="C84" s="61">
        <v>1449257.5</v>
      </c>
      <c r="D84" s="62">
        <v>1352691.95</v>
      </c>
      <c r="E84" s="62">
        <v>1358241.1</v>
      </c>
      <c r="F84" s="62">
        <v>1246598.72</v>
      </c>
      <c r="G84" s="62">
        <v>1277930.84</v>
      </c>
      <c r="H84" s="62">
        <v>1549099.65</v>
      </c>
      <c r="I84" s="62">
        <v>1771090.2799999998</v>
      </c>
      <c r="J84" s="62">
        <v>1729012.34</v>
      </c>
      <c r="K84" s="62">
        <v>1886588.82</v>
      </c>
      <c r="L84" s="62">
        <v>2036349.1</v>
      </c>
      <c r="M84" s="62">
        <v>2049339.5</v>
      </c>
      <c r="N84" s="63">
        <v>1807396.24</v>
      </c>
      <c r="O84" s="162">
        <f t="shared" si="10"/>
        <v>19513596.039999995</v>
      </c>
      <c r="P84" s="85"/>
    </row>
    <row r="85" spans="1:16" ht="11.25">
      <c r="A85" s="3" t="s">
        <v>70</v>
      </c>
      <c r="B85" s="14" t="s">
        <v>34</v>
      </c>
      <c r="C85" s="61">
        <v>104946.19</v>
      </c>
      <c r="D85" s="62">
        <v>99225.41</v>
      </c>
      <c r="E85" s="62">
        <v>100344.32</v>
      </c>
      <c r="F85" s="62">
        <v>106909.34</v>
      </c>
      <c r="G85" s="62">
        <v>106146.44</v>
      </c>
      <c r="H85" s="62">
        <v>97638.66</v>
      </c>
      <c r="I85" s="62">
        <v>79527.71</v>
      </c>
      <c r="J85" s="62">
        <v>80848.29999999999</v>
      </c>
      <c r="K85" s="62">
        <v>83796.9</v>
      </c>
      <c r="L85" s="62">
        <v>87446.99</v>
      </c>
      <c r="M85" s="62">
        <v>88460.18</v>
      </c>
      <c r="N85" s="63">
        <v>85374.33</v>
      </c>
      <c r="O85" s="162">
        <f t="shared" si="10"/>
        <v>1120664.77</v>
      </c>
      <c r="P85" s="85"/>
    </row>
    <row r="86" spans="1:16" ht="11.25">
      <c r="A86" s="3" t="s">
        <v>71</v>
      </c>
      <c r="B86" s="14" t="s">
        <v>30</v>
      </c>
      <c r="C86" s="61">
        <v>329791.12</v>
      </c>
      <c r="D86" s="62">
        <v>317880.5</v>
      </c>
      <c r="E86" s="62">
        <v>297854.33999999997</v>
      </c>
      <c r="F86" s="62">
        <v>242524.32</v>
      </c>
      <c r="G86" s="62">
        <v>207854.9</v>
      </c>
      <c r="H86" s="62">
        <v>201352.01</v>
      </c>
      <c r="I86" s="62">
        <v>220539.35</v>
      </c>
      <c r="J86" s="62">
        <v>209660.06</v>
      </c>
      <c r="K86" s="62">
        <v>214573.9</v>
      </c>
      <c r="L86" s="62">
        <v>220368.64</v>
      </c>
      <c r="M86" s="62">
        <v>246571.01</v>
      </c>
      <c r="N86" s="63">
        <v>232366.36</v>
      </c>
      <c r="O86" s="162">
        <f t="shared" si="10"/>
        <v>2941336.5100000002</v>
      </c>
      <c r="P86" s="85"/>
    </row>
    <row r="87" spans="1:16" ht="11.25">
      <c r="A87" s="3" t="s">
        <v>72</v>
      </c>
      <c r="B87" s="14" t="s">
        <v>34</v>
      </c>
      <c r="C87" s="61">
        <v>123635.92</v>
      </c>
      <c r="D87" s="62">
        <v>123410.78</v>
      </c>
      <c r="E87" s="62">
        <v>110494.58</v>
      </c>
      <c r="F87" s="62">
        <v>49773.81</v>
      </c>
      <c r="G87" s="62">
        <v>15990.99</v>
      </c>
      <c r="H87" s="62">
        <v>15355.15</v>
      </c>
      <c r="I87" s="62">
        <v>17098.2</v>
      </c>
      <c r="J87" s="62">
        <v>16569.9</v>
      </c>
      <c r="K87" s="62">
        <v>15560.37</v>
      </c>
      <c r="L87" s="62">
        <v>41297.93</v>
      </c>
      <c r="M87" s="62">
        <v>117263.53</v>
      </c>
      <c r="N87" s="63">
        <v>119572.75</v>
      </c>
      <c r="O87" s="162">
        <f t="shared" si="10"/>
        <v>766023.9100000001</v>
      </c>
      <c r="P87" s="85"/>
    </row>
    <row r="88" spans="1:16" ht="11.25">
      <c r="A88" s="3" t="s">
        <v>163</v>
      </c>
      <c r="B88" s="14" t="s">
        <v>31</v>
      </c>
      <c r="C88" s="61">
        <v>2011112.9</v>
      </c>
      <c r="D88" s="62">
        <v>2256662</v>
      </c>
      <c r="E88" s="62">
        <v>2192468</v>
      </c>
      <c r="F88" s="62">
        <v>2256662</v>
      </c>
      <c r="G88" s="62">
        <v>2192468</v>
      </c>
      <c r="H88" s="62">
        <v>2256662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162">
        <f t="shared" si="10"/>
        <v>13166034.9</v>
      </c>
      <c r="P88" s="85"/>
    </row>
    <row r="89" spans="1:16" ht="11.25">
      <c r="A89" s="3" t="s">
        <v>164</v>
      </c>
      <c r="B89" s="89" t="s">
        <v>32</v>
      </c>
      <c r="C89" s="61">
        <v>119150.1</v>
      </c>
      <c r="D89" s="62">
        <v>207843.03</v>
      </c>
      <c r="E89" s="62">
        <v>174617.95</v>
      </c>
      <c r="F89" s="62">
        <v>275533.38</v>
      </c>
      <c r="G89" s="62">
        <v>276190.88</v>
      </c>
      <c r="H89" s="62">
        <v>306590.9</v>
      </c>
      <c r="I89" s="62">
        <v>314433.03</v>
      </c>
      <c r="J89" s="62">
        <v>318117.06</v>
      </c>
      <c r="K89" s="62">
        <v>314579.2</v>
      </c>
      <c r="L89" s="62">
        <v>127371.28</v>
      </c>
      <c r="M89" s="62">
        <v>146115.6</v>
      </c>
      <c r="N89" s="63">
        <v>156038.36</v>
      </c>
      <c r="O89" s="162">
        <f t="shared" si="10"/>
        <v>2736580.7699999996</v>
      </c>
      <c r="P89" s="85"/>
    </row>
    <row r="90" spans="1:16" ht="11.25">
      <c r="A90" s="3" t="s">
        <v>222</v>
      </c>
      <c r="B90" s="14" t="s">
        <v>32</v>
      </c>
      <c r="C90" s="61">
        <v>877.61145</v>
      </c>
      <c r="D90" s="62">
        <v>1658.8992</v>
      </c>
      <c r="E90" s="62">
        <v>2443.94</v>
      </c>
      <c r="F90" s="62">
        <v>9981.918</v>
      </c>
      <c r="G90" s="62">
        <v>6547.828</v>
      </c>
      <c r="H90" s="62">
        <v>4020.8926</v>
      </c>
      <c r="I90" s="62">
        <v>1992.0431</v>
      </c>
      <c r="J90" s="62">
        <v>1605.6469</v>
      </c>
      <c r="K90" s="62">
        <v>2829.4019</v>
      </c>
      <c r="L90" s="62">
        <v>2059.4827</v>
      </c>
      <c r="M90" s="62">
        <v>2784.3418</v>
      </c>
      <c r="N90" s="63">
        <v>1206.3196</v>
      </c>
      <c r="O90" s="162">
        <f t="shared" si="10"/>
        <v>38008.32525</v>
      </c>
      <c r="P90" s="85"/>
    </row>
    <row r="91" spans="1:16" ht="11.25">
      <c r="A91" s="3" t="s">
        <v>165</v>
      </c>
      <c r="B91" s="14" t="s">
        <v>32</v>
      </c>
      <c r="C91" s="61">
        <v>223576.73</v>
      </c>
      <c r="D91" s="62">
        <v>279247.3</v>
      </c>
      <c r="E91" s="62">
        <v>276369.44</v>
      </c>
      <c r="F91" s="62">
        <v>305360.34</v>
      </c>
      <c r="G91" s="62">
        <v>222863.12</v>
      </c>
      <c r="H91" s="62">
        <v>150390.4</v>
      </c>
      <c r="I91" s="62">
        <v>247372</v>
      </c>
      <c r="J91" s="62">
        <v>209699.31</v>
      </c>
      <c r="K91" s="62">
        <v>229912.14</v>
      </c>
      <c r="L91" s="62">
        <v>232346.67</v>
      </c>
      <c r="M91" s="62">
        <v>239940.97</v>
      </c>
      <c r="N91" s="63">
        <v>214915.3</v>
      </c>
      <c r="O91" s="162">
        <f t="shared" si="10"/>
        <v>2831993.72</v>
      </c>
      <c r="P91" s="85"/>
    </row>
    <row r="92" spans="1:16" ht="11.25">
      <c r="A92" s="3" t="s">
        <v>166</v>
      </c>
      <c r="B92" s="14" t="s">
        <v>37</v>
      </c>
      <c r="C92" s="61">
        <v>2037071.9</v>
      </c>
      <c r="D92" s="62">
        <v>2648212.5</v>
      </c>
      <c r="E92" s="62">
        <v>1845559.2</v>
      </c>
      <c r="F92" s="62">
        <v>2311962.8</v>
      </c>
      <c r="G92" s="62">
        <v>2378095.5</v>
      </c>
      <c r="H92" s="62">
        <v>3739729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3">
        <v>0</v>
      </c>
      <c r="O92" s="162">
        <f t="shared" si="10"/>
        <v>14960630.9</v>
      </c>
      <c r="P92" s="85"/>
    </row>
    <row r="93" spans="1:16" ht="11.25">
      <c r="A93" s="3" t="s">
        <v>167</v>
      </c>
      <c r="B93" s="14" t="s">
        <v>37</v>
      </c>
      <c r="C93" s="61">
        <v>175701.08</v>
      </c>
      <c r="D93" s="62">
        <v>177118.28</v>
      </c>
      <c r="E93" s="62">
        <v>142474.2</v>
      </c>
      <c r="F93" s="62">
        <v>147556.14</v>
      </c>
      <c r="G93" s="62">
        <v>152869.55</v>
      </c>
      <c r="H93" s="62">
        <v>163253.39</v>
      </c>
      <c r="I93" s="62">
        <v>152469.45</v>
      </c>
      <c r="J93" s="62">
        <v>139048.72</v>
      </c>
      <c r="K93" s="62">
        <v>142975.95</v>
      </c>
      <c r="L93" s="62">
        <v>125229.3</v>
      </c>
      <c r="M93" s="62">
        <v>109960.445</v>
      </c>
      <c r="N93" s="63">
        <v>101576.62</v>
      </c>
      <c r="O93" s="162">
        <f t="shared" si="10"/>
        <v>1730233.125</v>
      </c>
      <c r="P93" s="85"/>
    </row>
    <row r="94" spans="1:16" ht="11.25">
      <c r="A94" s="3" t="s">
        <v>168</v>
      </c>
      <c r="B94" s="14" t="s">
        <v>37</v>
      </c>
      <c r="C94" s="61">
        <v>647341.75</v>
      </c>
      <c r="D94" s="62">
        <v>592730.56</v>
      </c>
      <c r="E94" s="62">
        <v>398525.56</v>
      </c>
      <c r="F94" s="62">
        <v>449073.34</v>
      </c>
      <c r="G94" s="62">
        <v>536665.8</v>
      </c>
      <c r="H94" s="62">
        <v>612665.3</v>
      </c>
      <c r="I94" s="62">
        <v>571463.7</v>
      </c>
      <c r="J94" s="62">
        <v>596099.6</v>
      </c>
      <c r="K94" s="62">
        <v>475991.25</v>
      </c>
      <c r="L94" s="62">
        <v>491158.22</v>
      </c>
      <c r="M94" s="62">
        <v>322894.22</v>
      </c>
      <c r="N94" s="63">
        <v>408999.16</v>
      </c>
      <c r="O94" s="162">
        <f t="shared" si="10"/>
        <v>6103608.46</v>
      </c>
      <c r="P94" s="85"/>
    </row>
    <row r="95" spans="1:16" ht="11.25">
      <c r="A95" s="3" t="s">
        <v>169</v>
      </c>
      <c r="B95" s="14" t="s">
        <v>37</v>
      </c>
      <c r="C95" s="61">
        <v>401438.47</v>
      </c>
      <c r="D95" s="62">
        <v>544170</v>
      </c>
      <c r="E95" s="62">
        <v>631396.2</v>
      </c>
      <c r="F95" s="62">
        <v>711474.7</v>
      </c>
      <c r="G95" s="62">
        <v>830351.44</v>
      </c>
      <c r="H95" s="62">
        <v>1112042.9</v>
      </c>
      <c r="I95" s="62">
        <v>1197304.2</v>
      </c>
      <c r="J95" s="62">
        <v>793910.56</v>
      </c>
      <c r="K95" s="62">
        <v>789572.25</v>
      </c>
      <c r="L95" s="62">
        <v>588917.5</v>
      </c>
      <c r="M95" s="62">
        <v>500215.12</v>
      </c>
      <c r="N95" s="63">
        <v>362581.5</v>
      </c>
      <c r="O95" s="162">
        <f t="shared" si="10"/>
        <v>8463374.84</v>
      </c>
      <c r="P95" s="85"/>
    </row>
    <row r="96" spans="1:16" ht="11.25">
      <c r="A96" s="3" t="s">
        <v>170</v>
      </c>
      <c r="B96" s="14" t="s">
        <v>37</v>
      </c>
      <c r="C96" s="61">
        <v>787868.4</v>
      </c>
      <c r="D96" s="62">
        <v>848296.3</v>
      </c>
      <c r="E96" s="62">
        <v>796540.5</v>
      </c>
      <c r="F96" s="62">
        <v>847041.4</v>
      </c>
      <c r="G96" s="62">
        <v>1114887.2</v>
      </c>
      <c r="H96" s="62">
        <v>1513999.2</v>
      </c>
      <c r="I96" s="62">
        <v>1746953.4</v>
      </c>
      <c r="J96" s="62">
        <v>1111017</v>
      </c>
      <c r="K96" s="62">
        <v>1120216.6</v>
      </c>
      <c r="L96" s="62">
        <v>802467.3</v>
      </c>
      <c r="M96" s="62">
        <v>872008.7</v>
      </c>
      <c r="N96" s="63">
        <v>693946.6</v>
      </c>
      <c r="O96" s="162">
        <f t="shared" si="10"/>
        <v>12255242.6</v>
      </c>
      <c r="P96" s="85"/>
    </row>
    <row r="97" spans="1:16" ht="11.25">
      <c r="A97" s="3" t="s">
        <v>171</v>
      </c>
      <c r="B97" s="14" t="s">
        <v>37</v>
      </c>
      <c r="C97" s="61">
        <v>1204652.8</v>
      </c>
      <c r="D97" s="62">
        <v>932566.5</v>
      </c>
      <c r="E97" s="62">
        <v>751614.2</v>
      </c>
      <c r="F97" s="62">
        <v>765278.3</v>
      </c>
      <c r="G97" s="62">
        <v>891213.06</v>
      </c>
      <c r="H97" s="62">
        <v>310814.4</v>
      </c>
      <c r="I97" s="62">
        <v>629509.4</v>
      </c>
      <c r="J97" s="62">
        <v>722021.25</v>
      </c>
      <c r="K97" s="62">
        <v>892694</v>
      </c>
      <c r="L97" s="62">
        <v>1084359</v>
      </c>
      <c r="M97" s="62">
        <v>1107712.6</v>
      </c>
      <c r="N97" s="63">
        <v>1280929.9</v>
      </c>
      <c r="O97" s="162">
        <f t="shared" si="10"/>
        <v>10573365.41</v>
      </c>
      <c r="P97" s="85"/>
    </row>
    <row r="98" spans="1:16" ht="11.25">
      <c r="A98" s="3" t="s">
        <v>188</v>
      </c>
      <c r="B98" s="14" t="s">
        <v>37</v>
      </c>
      <c r="C98" s="61">
        <v>0</v>
      </c>
      <c r="D98" s="62">
        <v>0</v>
      </c>
      <c r="E98" s="62">
        <v>0</v>
      </c>
      <c r="F98" s="62">
        <v>0</v>
      </c>
      <c r="G98" s="62">
        <v>0</v>
      </c>
      <c r="H98" s="62">
        <v>43189.9</v>
      </c>
      <c r="I98" s="62">
        <v>1260818.8</v>
      </c>
      <c r="J98" s="62">
        <v>1281894</v>
      </c>
      <c r="K98" s="62">
        <v>1116987.8</v>
      </c>
      <c r="L98" s="62">
        <v>777830.25</v>
      </c>
      <c r="M98" s="62">
        <v>640872.3</v>
      </c>
      <c r="N98" s="63">
        <v>573512.25</v>
      </c>
      <c r="O98" s="162">
        <f t="shared" si="10"/>
        <v>5695105.3</v>
      </c>
      <c r="P98" s="85"/>
    </row>
    <row r="99" spans="1:16" ht="11.25">
      <c r="A99" s="3" t="s">
        <v>172</v>
      </c>
      <c r="B99" s="14" t="s">
        <v>37</v>
      </c>
      <c r="C99" s="61">
        <v>0</v>
      </c>
      <c r="D99" s="62">
        <v>0</v>
      </c>
      <c r="E99" s="62">
        <v>0</v>
      </c>
      <c r="F99" s="62">
        <v>0</v>
      </c>
      <c r="G99" s="62">
        <v>0</v>
      </c>
      <c r="H99" s="62">
        <v>16320.998</v>
      </c>
      <c r="I99" s="62">
        <v>394188.34</v>
      </c>
      <c r="J99" s="62">
        <v>388720.25</v>
      </c>
      <c r="K99" s="62">
        <v>348837.9</v>
      </c>
      <c r="L99" s="62">
        <v>291013.34</v>
      </c>
      <c r="M99" s="62">
        <v>233011.98</v>
      </c>
      <c r="N99" s="63">
        <v>232450.86</v>
      </c>
      <c r="O99" s="162">
        <f t="shared" si="10"/>
        <v>1904543.668</v>
      </c>
      <c r="P99" s="85"/>
    </row>
    <row r="100" spans="1:16" ht="11.25">
      <c r="A100" s="3" t="s">
        <v>173</v>
      </c>
      <c r="B100" s="14" t="s">
        <v>37</v>
      </c>
      <c r="C100" s="61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14716.402</v>
      </c>
      <c r="I100" s="62">
        <v>355432.56</v>
      </c>
      <c r="J100" s="62">
        <v>350502.22</v>
      </c>
      <c r="K100" s="62">
        <v>314543.53</v>
      </c>
      <c r="L100" s="62">
        <v>262402.2</v>
      </c>
      <c r="M100" s="62">
        <v>210103.7</v>
      </c>
      <c r="N100" s="63">
        <v>209596.6</v>
      </c>
      <c r="O100" s="162">
        <f t="shared" si="10"/>
        <v>1717297.212</v>
      </c>
      <c r="P100" s="85"/>
    </row>
    <row r="101" spans="1:16" ht="11.25">
      <c r="A101" s="3" t="s">
        <v>174</v>
      </c>
      <c r="B101" s="14" t="s">
        <v>37</v>
      </c>
      <c r="C101" s="61">
        <v>330891.47</v>
      </c>
      <c r="D101" s="62">
        <v>342199.8</v>
      </c>
      <c r="E101" s="62">
        <v>340853.84</v>
      </c>
      <c r="F101" s="62">
        <v>392541.66</v>
      </c>
      <c r="G101" s="62">
        <v>340547.6</v>
      </c>
      <c r="H101" s="62">
        <v>322797.56</v>
      </c>
      <c r="I101" s="62">
        <v>352431.1</v>
      </c>
      <c r="J101" s="62">
        <v>349908.78</v>
      </c>
      <c r="K101" s="62">
        <v>405584.9</v>
      </c>
      <c r="L101" s="62">
        <v>442734</v>
      </c>
      <c r="M101" s="62">
        <v>296751.4</v>
      </c>
      <c r="N101" s="63">
        <v>412126</v>
      </c>
      <c r="O101" s="162">
        <f t="shared" si="10"/>
        <v>4329368.11</v>
      </c>
      <c r="P101" s="85"/>
    </row>
    <row r="102" spans="1:16" ht="11.25">
      <c r="A102" s="3" t="s">
        <v>175</v>
      </c>
      <c r="B102" s="14" t="s">
        <v>37</v>
      </c>
      <c r="C102" s="61">
        <v>280864.62</v>
      </c>
      <c r="D102" s="62">
        <v>338964.3</v>
      </c>
      <c r="E102" s="62">
        <v>273786.4</v>
      </c>
      <c r="F102" s="62">
        <v>221312.06</v>
      </c>
      <c r="G102" s="62">
        <v>245413.88</v>
      </c>
      <c r="H102" s="62">
        <v>268413.97</v>
      </c>
      <c r="I102" s="62">
        <v>177251.34</v>
      </c>
      <c r="J102" s="62">
        <v>200228.42</v>
      </c>
      <c r="K102" s="62">
        <v>171042.1</v>
      </c>
      <c r="L102" s="62">
        <v>160811.34</v>
      </c>
      <c r="M102" s="62">
        <v>166683.69</v>
      </c>
      <c r="N102" s="63">
        <v>239704.36</v>
      </c>
      <c r="O102" s="162">
        <f t="shared" si="10"/>
        <v>2744476.4799999995</v>
      </c>
      <c r="P102" s="85"/>
    </row>
    <row r="103" spans="1:16" ht="11.25">
      <c r="A103" s="3" t="s">
        <v>176</v>
      </c>
      <c r="B103" s="14" t="s">
        <v>35</v>
      </c>
      <c r="C103" s="61">
        <v>2315980.5</v>
      </c>
      <c r="D103" s="62">
        <v>2318339.2</v>
      </c>
      <c r="E103" s="62">
        <v>2283522.65</v>
      </c>
      <c r="F103" s="62">
        <v>1927759.64</v>
      </c>
      <c r="G103" s="62">
        <v>2270328.56</v>
      </c>
      <c r="H103" s="62">
        <v>2311706.56</v>
      </c>
      <c r="I103" s="62">
        <v>2357457</v>
      </c>
      <c r="J103" s="62">
        <v>2280373.5</v>
      </c>
      <c r="K103" s="62">
        <v>2314758.1</v>
      </c>
      <c r="L103" s="62">
        <v>1354235.74</v>
      </c>
      <c r="M103" s="62">
        <v>1978711.6800000002</v>
      </c>
      <c r="N103" s="63">
        <v>2316082.13</v>
      </c>
      <c r="O103" s="162">
        <f t="shared" si="10"/>
        <v>26029255.259999998</v>
      </c>
      <c r="P103" s="85"/>
    </row>
    <row r="104" spans="1:16" ht="11.25">
      <c r="A104" s="3" t="s">
        <v>177</v>
      </c>
      <c r="B104" s="14" t="s">
        <v>37</v>
      </c>
      <c r="C104" s="61">
        <v>183734.28</v>
      </c>
      <c r="D104" s="62">
        <v>185037.25</v>
      </c>
      <c r="E104" s="62">
        <v>149382.9</v>
      </c>
      <c r="F104" s="62">
        <v>153934.5</v>
      </c>
      <c r="G104" s="62">
        <v>158248.44</v>
      </c>
      <c r="H104" s="62">
        <v>172411.78</v>
      </c>
      <c r="I104" s="62">
        <v>160059.02</v>
      </c>
      <c r="J104" s="62">
        <v>145498.92</v>
      </c>
      <c r="K104" s="62">
        <v>147995.66</v>
      </c>
      <c r="L104" s="62">
        <v>129947.055</v>
      </c>
      <c r="M104" s="62">
        <v>115789.195</v>
      </c>
      <c r="N104" s="63">
        <v>103910.805</v>
      </c>
      <c r="O104" s="162">
        <f t="shared" si="10"/>
        <v>1805949.805</v>
      </c>
      <c r="P104" s="85"/>
    </row>
    <row r="105" spans="1:16" ht="11.25">
      <c r="A105" s="3" t="s">
        <v>178</v>
      </c>
      <c r="B105" s="14" t="s">
        <v>37</v>
      </c>
      <c r="C105" s="61">
        <v>150190.31</v>
      </c>
      <c r="D105" s="62">
        <v>152114.19</v>
      </c>
      <c r="E105" s="62">
        <v>142205.78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162">
        <f t="shared" si="10"/>
        <v>444510.28</v>
      </c>
      <c r="P105" s="85"/>
    </row>
    <row r="106" spans="1:16" ht="11.25">
      <c r="A106" s="2" t="s">
        <v>73</v>
      </c>
      <c r="B106" s="35" t="s">
        <v>37</v>
      </c>
      <c r="C106" s="64">
        <v>588690.56</v>
      </c>
      <c r="D106" s="65">
        <v>564528.3</v>
      </c>
      <c r="E106" s="65">
        <v>522745.03</v>
      </c>
      <c r="F106" s="65">
        <v>674652</v>
      </c>
      <c r="G106" s="65">
        <v>635652.2</v>
      </c>
      <c r="H106" s="65">
        <v>800665.7</v>
      </c>
      <c r="I106" s="65">
        <v>711073.2</v>
      </c>
      <c r="J106" s="65">
        <v>681964.75</v>
      </c>
      <c r="K106" s="65">
        <v>622681.44</v>
      </c>
      <c r="L106" s="65">
        <v>508157.97</v>
      </c>
      <c r="M106" s="65">
        <v>452590.25</v>
      </c>
      <c r="N106" s="66">
        <v>340340.7</v>
      </c>
      <c r="O106" s="163">
        <f t="shared" si="10"/>
        <v>7103742.1</v>
      </c>
      <c r="P106" s="85"/>
    </row>
    <row r="107" spans="1:15" ht="11.25">
      <c r="A107" s="3" t="s">
        <v>179</v>
      </c>
      <c r="C107" s="58">
        <f aca="true" t="shared" si="11" ref="C107:N107">SUM(C82:C106)</f>
        <v>14159261.17145</v>
      </c>
      <c r="D107" s="59">
        <f t="shared" si="11"/>
        <v>14799121.019200003</v>
      </c>
      <c r="E107" s="59">
        <f t="shared" si="11"/>
        <v>13250579.48</v>
      </c>
      <c r="F107" s="59">
        <f t="shared" si="11"/>
        <v>13579540.798</v>
      </c>
      <c r="G107" s="59">
        <f t="shared" si="11"/>
        <v>14360848.178</v>
      </c>
      <c r="H107" s="59">
        <f t="shared" si="11"/>
        <v>16586898.642600004</v>
      </c>
      <c r="I107" s="59">
        <f t="shared" si="11"/>
        <v>13499512.7231</v>
      </c>
      <c r="J107" s="59">
        <f t="shared" si="11"/>
        <v>12474065.9269</v>
      </c>
      <c r="K107" s="59">
        <f t="shared" si="11"/>
        <v>12667770.131899998</v>
      </c>
      <c r="L107" s="59">
        <f t="shared" si="11"/>
        <v>10955503.3377</v>
      </c>
      <c r="M107" s="59">
        <f t="shared" si="11"/>
        <v>11179777.371800002</v>
      </c>
      <c r="N107" s="60">
        <f t="shared" si="11"/>
        <v>11021655.044599999</v>
      </c>
      <c r="O107" s="80">
        <f>SUM(O82:O106)</f>
        <v>158534533.82525</v>
      </c>
    </row>
    <row r="108" spans="3:15" ht="11.25"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80"/>
    </row>
    <row r="109" spans="1:15" ht="11.25">
      <c r="A109" s="3" t="s">
        <v>162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  <c r="O109" s="80"/>
    </row>
    <row r="110" spans="1:16" ht="11.25">
      <c r="A110" s="3" t="s">
        <v>180</v>
      </c>
      <c r="B110" s="10" t="s">
        <v>295</v>
      </c>
      <c r="C110" s="61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62">
        <f aca="true" t="shared" si="12" ref="O110:O116">SUM(C110:N110)</f>
        <v>0</v>
      </c>
      <c r="P110" s="85"/>
    </row>
    <row r="111" spans="1:16" ht="11.25">
      <c r="A111" s="3" t="s">
        <v>181</v>
      </c>
      <c r="B111" s="10" t="s">
        <v>28</v>
      </c>
      <c r="C111" s="61">
        <v>361081.62</v>
      </c>
      <c r="D111" s="62">
        <v>361081.62</v>
      </c>
      <c r="E111" s="62">
        <v>361081.62</v>
      </c>
      <c r="F111" s="62">
        <v>361081.62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3">
        <v>0</v>
      </c>
      <c r="O111" s="162">
        <f t="shared" si="12"/>
        <v>1444326.48</v>
      </c>
      <c r="P111" s="85"/>
    </row>
    <row r="112" spans="1:16" ht="11.25">
      <c r="A112" s="3" t="s">
        <v>182</v>
      </c>
      <c r="B112" s="10" t="s">
        <v>28</v>
      </c>
      <c r="C112" s="61">
        <v>289739.66</v>
      </c>
      <c r="D112" s="62">
        <v>289739.66</v>
      </c>
      <c r="E112" s="62">
        <v>292763.56</v>
      </c>
      <c r="F112" s="62">
        <v>292763.56</v>
      </c>
      <c r="G112" s="62">
        <v>292763.56</v>
      </c>
      <c r="H112" s="62">
        <v>292763.56</v>
      </c>
      <c r="I112" s="62">
        <v>292763.56</v>
      </c>
      <c r="J112" s="62">
        <v>292763.56</v>
      </c>
      <c r="K112" s="62">
        <v>292763.56</v>
      </c>
      <c r="L112" s="62">
        <v>292763.56</v>
      </c>
      <c r="M112" s="62">
        <v>292763.56</v>
      </c>
      <c r="N112" s="63">
        <v>292763.56</v>
      </c>
      <c r="O112" s="162">
        <f t="shared" si="12"/>
        <v>3507114.9200000004</v>
      </c>
      <c r="P112" s="85"/>
    </row>
    <row r="113" spans="1:16" ht="11.25">
      <c r="A113" s="3" t="s">
        <v>183</v>
      </c>
      <c r="B113" s="10" t="s">
        <v>28</v>
      </c>
      <c r="C113" s="61">
        <v>1217430</v>
      </c>
      <c r="D113" s="62">
        <v>1039239.4</v>
      </c>
      <c r="E113" s="62">
        <v>1029660.7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62">
        <f t="shared" si="12"/>
        <v>3286330.0999999996</v>
      </c>
      <c r="P113" s="85"/>
    </row>
    <row r="114" spans="1:16" ht="11.25">
      <c r="A114" s="3" t="s">
        <v>74</v>
      </c>
      <c r="B114" s="10" t="s">
        <v>28</v>
      </c>
      <c r="C114" s="61">
        <v>-703534.75</v>
      </c>
      <c r="D114" s="62">
        <v>-703534.75</v>
      </c>
      <c r="E114" s="62">
        <v>-703534.75</v>
      </c>
      <c r="F114" s="62">
        <v>-703534.75</v>
      </c>
      <c r="G114" s="62">
        <v>-703534.75</v>
      </c>
      <c r="H114" s="62">
        <v>-703534.75</v>
      </c>
      <c r="I114" s="62">
        <v>-631165.2</v>
      </c>
      <c r="J114" s="62">
        <v>-631165.2</v>
      </c>
      <c r="K114" s="62">
        <v>-631165.2</v>
      </c>
      <c r="L114" s="62">
        <v>-631165.2</v>
      </c>
      <c r="M114" s="62">
        <v>-631165.2</v>
      </c>
      <c r="N114" s="63">
        <v>-631165.2</v>
      </c>
      <c r="O114" s="162">
        <f t="shared" si="12"/>
        <v>-8008199.700000001</v>
      </c>
      <c r="P114" s="85"/>
    </row>
    <row r="115" spans="1:16" ht="11.25">
      <c r="A115" s="3" t="s">
        <v>184</v>
      </c>
      <c r="B115" s="10" t="s">
        <v>28</v>
      </c>
      <c r="C115" s="61">
        <v>170715.42</v>
      </c>
      <c r="D115" s="62">
        <v>170715.42</v>
      </c>
      <c r="E115" s="62">
        <v>170715.42</v>
      </c>
      <c r="F115" s="62">
        <v>170715.42</v>
      </c>
      <c r="G115" s="62">
        <v>170715.42</v>
      </c>
      <c r="H115" s="62">
        <v>170715.42</v>
      </c>
      <c r="I115" s="62">
        <v>144344.38</v>
      </c>
      <c r="J115" s="62">
        <v>144344.38</v>
      </c>
      <c r="K115" s="62">
        <v>144344.38</v>
      </c>
      <c r="L115" s="62">
        <v>144344.38</v>
      </c>
      <c r="M115" s="62">
        <v>144344.38</v>
      </c>
      <c r="N115" s="63">
        <v>144344.38</v>
      </c>
      <c r="O115" s="162">
        <f t="shared" si="12"/>
        <v>1890358.7999999998</v>
      </c>
      <c r="P115" s="85"/>
    </row>
    <row r="116" spans="1:16" ht="11.25">
      <c r="A116" s="2" t="s">
        <v>185</v>
      </c>
      <c r="B116" s="13" t="s">
        <v>28</v>
      </c>
      <c r="C116" s="64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6">
        <v>0</v>
      </c>
      <c r="O116" s="163">
        <f t="shared" si="12"/>
        <v>0</v>
      </c>
      <c r="P116" s="85"/>
    </row>
    <row r="117" spans="1:15" ht="11.25">
      <c r="A117" s="3" t="s">
        <v>186</v>
      </c>
      <c r="C117" s="58">
        <f aca="true" t="shared" si="13" ref="C117:N117">SUM(C110:C116)</f>
        <v>1335431.95</v>
      </c>
      <c r="D117" s="59">
        <f t="shared" si="13"/>
        <v>1157241.35</v>
      </c>
      <c r="E117" s="59">
        <f t="shared" si="13"/>
        <v>1150686.5499999998</v>
      </c>
      <c r="F117" s="59">
        <f t="shared" si="13"/>
        <v>121025.84999999995</v>
      </c>
      <c r="G117" s="59">
        <f t="shared" si="13"/>
        <v>-240055.77</v>
      </c>
      <c r="H117" s="59">
        <f t="shared" si="13"/>
        <v>-240055.77</v>
      </c>
      <c r="I117" s="59">
        <f t="shared" si="13"/>
        <v>-194057.25999999995</v>
      </c>
      <c r="J117" s="59">
        <f t="shared" si="13"/>
        <v>-194057.25999999995</v>
      </c>
      <c r="K117" s="59">
        <f t="shared" si="13"/>
        <v>-194057.25999999995</v>
      </c>
      <c r="L117" s="59">
        <f t="shared" si="13"/>
        <v>-194057.25999999995</v>
      </c>
      <c r="M117" s="59">
        <f t="shared" si="13"/>
        <v>-194057.25999999995</v>
      </c>
      <c r="N117" s="60">
        <f t="shared" si="13"/>
        <v>-194057.25999999995</v>
      </c>
      <c r="O117" s="80">
        <f>SUM(O110:O116)</f>
        <v>2119930.5999999987</v>
      </c>
    </row>
    <row r="118" spans="3:15" ht="11.25"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80"/>
    </row>
    <row r="119" spans="1:15" ht="11.25">
      <c r="A119" s="3" t="s">
        <v>187</v>
      </c>
      <c r="C119" s="58">
        <f aca="true" t="shared" si="14" ref="C119:N119">C75+C78+C107+C117</f>
        <v>39073959.3632748</v>
      </c>
      <c r="D119" s="59">
        <f t="shared" si="14"/>
        <v>41591814.85785337</v>
      </c>
      <c r="E119" s="59">
        <f t="shared" si="14"/>
        <v>37000734.74849173</v>
      </c>
      <c r="F119" s="59">
        <f t="shared" si="14"/>
        <v>37636334.737577416</v>
      </c>
      <c r="G119" s="59">
        <f t="shared" si="14"/>
        <v>39693114.55973565</v>
      </c>
      <c r="H119" s="59">
        <f t="shared" si="14"/>
        <v>44050802.95288036</v>
      </c>
      <c r="I119" s="59">
        <f t="shared" si="14"/>
        <v>40691769.083842255</v>
      </c>
      <c r="J119" s="59">
        <f t="shared" si="14"/>
        <v>35674324.4109619</v>
      </c>
      <c r="K119" s="59">
        <f t="shared" si="14"/>
        <v>35336129.44099828</v>
      </c>
      <c r="L119" s="59">
        <f t="shared" si="14"/>
        <v>30737116.55172621</v>
      </c>
      <c r="M119" s="59">
        <f t="shared" si="14"/>
        <v>30806454.48602621</v>
      </c>
      <c r="N119" s="60">
        <f t="shared" si="14"/>
        <v>29638440.75526084</v>
      </c>
      <c r="O119" s="80">
        <f>O75+O78+O107+O117</f>
        <v>441930995.948629</v>
      </c>
    </row>
    <row r="120" spans="3:15" ht="11.25"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80"/>
    </row>
    <row r="121" spans="3:15" ht="11.25"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80"/>
    </row>
    <row r="122" spans="1:15" ht="11.25">
      <c r="A122" s="3" t="s">
        <v>190</v>
      </c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80"/>
    </row>
    <row r="123" spans="1:16" ht="11.25">
      <c r="A123" s="3" t="s">
        <v>75</v>
      </c>
      <c r="C123" s="61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3">
        <v>0</v>
      </c>
      <c r="O123" s="162">
        <f aca="true" t="shared" si="15" ref="O123:O135">SUM(C123:N123)</f>
        <v>0</v>
      </c>
      <c r="P123" s="85"/>
    </row>
    <row r="124" spans="1:16" ht="11.25">
      <c r="A124" s="3" t="s">
        <v>76</v>
      </c>
      <c r="B124" s="10" t="s">
        <v>27</v>
      </c>
      <c r="C124" s="61">
        <v>85749.46</v>
      </c>
      <c r="D124" s="62">
        <v>90604.24</v>
      </c>
      <c r="E124" s="62">
        <v>203992.95</v>
      </c>
      <c r="F124" s="62">
        <v>97825.02</v>
      </c>
      <c r="G124" s="62">
        <v>141622.7</v>
      </c>
      <c r="H124" s="62">
        <v>217533.72</v>
      </c>
      <c r="I124" s="62">
        <v>135555.47</v>
      </c>
      <c r="J124" s="62">
        <v>98383.34</v>
      </c>
      <c r="K124" s="62">
        <v>100329</v>
      </c>
      <c r="L124" s="62">
        <v>71369.09</v>
      </c>
      <c r="M124" s="62">
        <v>91910.18</v>
      </c>
      <c r="N124" s="63">
        <v>141716.14</v>
      </c>
      <c r="O124" s="162">
        <f t="shared" si="15"/>
        <v>1476591.31</v>
      </c>
      <c r="P124" s="85"/>
    </row>
    <row r="125" spans="1:16" ht="11.25">
      <c r="A125" s="3" t="s">
        <v>191</v>
      </c>
      <c r="B125" s="10" t="s">
        <v>24</v>
      </c>
      <c r="C125" s="61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3">
        <v>0</v>
      </c>
      <c r="O125" s="162">
        <f t="shared" si="15"/>
        <v>0</v>
      </c>
      <c r="P125" s="85"/>
    </row>
    <row r="126" spans="1:16" ht="11.25">
      <c r="A126" s="3" t="s">
        <v>192</v>
      </c>
      <c r="C126" s="61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162">
        <f t="shared" si="15"/>
        <v>0</v>
      </c>
      <c r="P126" s="85"/>
    </row>
    <row r="127" spans="1:16" ht="11.25">
      <c r="A127" s="3" t="s">
        <v>193</v>
      </c>
      <c r="C127" s="61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3">
        <v>0</v>
      </c>
      <c r="O127" s="162">
        <f t="shared" si="15"/>
        <v>0</v>
      </c>
      <c r="P127" s="85"/>
    </row>
    <row r="128" spans="1:16" ht="11.25">
      <c r="A128" s="3" t="s">
        <v>194</v>
      </c>
      <c r="B128" s="10" t="s">
        <v>26</v>
      </c>
      <c r="C128" s="61">
        <v>4801250</v>
      </c>
      <c r="D128" s="62">
        <v>4801250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3">
        <v>0</v>
      </c>
      <c r="O128" s="162">
        <f t="shared" si="15"/>
        <v>9602500</v>
      </c>
      <c r="P128" s="85"/>
    </row>
    <row r="129" spans="1:16" ht="11.25">
      <c r="A129" s="3" t="s">
        <v>195</v>
      </c>
      <c r="C129" s="61">
        <v>-22.76001</v>
      </c>
      <c r="D129" s="62">
        <v>-2126.858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-2965.688</v>
      </c>
      <c r="N129" s="63">
        <v>-3535.3037</v>
      </c>
      <c r="O129" s="162">
        <f t="shared" si="15"/>
        <v>-8650.60971</v>
      </c>
      <c r="P129" s="85"/>
    </row>
    <row r="130" spans="1:16" ht="11.25">
      <c r="A130" s="3" t="s">
        <v>209</v>
      </c>
      <c r="B130" s="10" t="s">
        <v>24</v>
      </c>
      <c r="C130" s="61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3">
        <v>0</v>
      </c>
      <c r="O130" s="162">
        <f t="shared" si="15"/>
        <v>0</v>
      </c>
      <c r="P130" s="85"/>
    </row>
    <row r="131" spans="1:16" ht="11.25">
      <c r="A131" s="3" t="s">
        <v>196</v>
      </c>
      <c r="C131" s="61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162">
        <f t="shared" si="15"/>
        <v>0</v>
      </c>
      <c r="P131" s="85"/>
    </row>
    <row r="132" spans="1:16" ht="11.25">
      <c r="A132" s="3" t="s">
        <v>197</v>
      </c>
      <c r="C132" s="61">
        <v>375000</v>
      </c>
      <c r="D132" s="62">
        <v>375000</v>
      </c>
      <c r="E132" s="62">
        <v>375000</v>
      </c>
      <c r="F132" s="62">
        <v>375000</v>
      </c>
      <c r="G132" s="62">
        <v>375000</v>
      </c>
      <c r="H132" s="62">
        <v>375000</v>
      </c>
      <c r="I132" s="62">
        <v>450000</v>
      </c>
      <c r="J132" s="62">
        <v>450000</v>
      </c>
      <c r="K132" s="62">
        <v>450000</v>
      </c>
      <c r="L132" s="62">
        <v>450000</v>
      </c>
      <c r="M132" s="62">
        <v>450000</v>
      </c>
      <c r="N132" s="63">
        <v>450000</v>
      </c>
      <c r="O132" s="162">
        <f t="shared" si="15"/>
        <v>4950000</v>
      </c>
      <c r="P132" s="85"/>
    </row>
    <row r="133" spans="1:16" ht="11.25">
      <c r="A133" s="3" t="s">
        <v>198</v>
      </c>
      <c r="C133" s="87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3">
        <v>0</v>
      </c>
      <c r="O133" s="162">
        <f t="shared" si="15"/>
        <v>0</v>
      </c>
      <c r="P133" s="85"/>
    </row>
    <row r="134" spans="1:16" ht="11.25">
      <c r="A134" s="3" t="s">
        <v>199</v>
      </c>
      <c r="C134" s="87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3">
        <v>0</v>
      </c>
      <c r="O134" s="162">
        <f t="shared" si="15"/>
        <v>0</v>
      </c>
      <c r="P134" s="85"/>
    </row>
    <row r="135" spans="1:16" ht="11.25">
      <c r="A135" s="2" t="s">
        <v>200</v>
      </c>
      <c r="B135" s="13"/>
      <c r="C135" s="88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6">
        <v>0</v>
      </c>
      <c r="O135" s="163">
        <f t="shared" si="15"/>
        <v>0</v>
      </c>
      <c r="P135" s="85"/>
    </row>
    <row r="136" spans="1:15" ht="11.25">
      <c r="A136" s="3" t="s">
        <v>201</v>
      </c>
      <c r="C136" s="58">
        <f aca="true" t="shared" si="16" ref="C136:N136">SUM(C123:C135)</f>
        <v>5261976.69999</v>
      </c>
      <c r="D136" s="59">
        <f t="shared" si="16"/>
        <v>5264727.382</v>
      </c>
      <c r="E136" s="59">
        <f t="shared" si="16"/>
        <v>578992.95</v>
      </c>
      <c r="F136" s="59">
        <f t="shared" si="16"/>
        <v>472825.02</v>
      </c>
      <c r="G136" s="59">
        <f t="shared" si="16"/>
        <v>516622.7</v>
      </c>
      <c r="H136" s="59">
        <f t="shared" si="16"/>
        <v>592533.72</v>
      </c>
      <c r="I136" s="59">
        <f t="shared" si="16"/>
        <v>585555.47</v>
      </c>
      <c r="J136" s="59">
        <f t="shared" si="16"/>
        <v>548383.34</v>
      </c>
      <c r="K136" s="59">
        <f t="shared" si="16"/>
        <v>550329</v>
      </c>
      <c r="L136" s="59">
        <f t="shared" si="16"/>
        <v>521369.08999999997</v>
      </c>
      <c r="M136" s="59">
        <f t="shared" si="16"/>
        <v>538944.492</v>
      </c>
      <c r="N136" s="60">
        <f t="shared" si="16"/>
        <v>588180.8363000001</v>
      </c>
      <c r="O136" s="80">
        <f>SUM(O123:O135)</f>
        <v>16020440.70029</v>
      </c>
    </row>
    <row r="137" spans="3:15" ht="11.25"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80"/>
    </row>
    <row r="138" spans="1:15" ht="11.25">
      <c r="A138" s="3" t="s">
        <v>43</v>
      </c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80"/>
    </row>
    <row r="139" spans="1:16" ht="11.25">
      <c r="A139" s="3" t="s">
        <v>202</v>
      </c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3">
        <v>0</v>
      </c>
      <c r="O139" s="162">
        <f aca="true" t="shared" si="17" ref="O139:O146">SUM(C139:N139)</f>
        <v>0</v>
      </c>
      <c r="P139" s="85"/>
    </row>
    <row r="140" spans="1:16" ht="11.25">
      <c r="A140" s="3" t="s">
        <v>203</v>
      </c>
      <c r="C140" s="61">
        <v>498800</v>
      </c>
      <c r="D140" s="62">
        <v>452400</v>
      </c>
      <c r="E140" s="62">
        <v>464000</v>
      </c>
      <c r="F140" s="62">
        <v>475600</v>
      </c>
      <c r="G140" s="62">
        <v>464000</v>
      </c>
      <c r="H140" s="62">
        <v>475600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3">
        <v>0</v>
      </c>
      <c r="O140" s="162">
        <f t="shared" si="17"/>
        <v>2830400</v>
      </c>
      <c r="P140" s="85"/>
    </row>
    <row r="141" spans="1:16" ht="11.25">
      <c r="A141" s="3" t="s">
        <v>28</v>
      </c>
      <c r="C141" s="61">
        <v>8334550</v>
      </c>
      <c r="D141" s="62">
        <v>1907100</v>
      </c>
      <c r="E141" s="62">
        <v>1874000</v>
      </c>
      <c r="F141" s="62">
        <v>1537600</v>
      </c>
      <c r="G141" s="62">
        <v>1112000</v>
      </c>
      <c r="H141" s="62">
        <v>1139800</v>
      </c>
      <c r="I141" s="62">
        <v>559000</v>
      </c>
      <c r="J141" s="62">
        <v>481000</v>
      </c>
      <c r="K141" s="62">
        <v>1431300</v>
      </c>
      <c r="L141" s="62">
        <v>5091300</v>
      </c>
      <c r="M141" s="62">
        <v>5247720</v>
      </c>
      <c r="N141" s="63">
        <v>5011560</v>
      </c>
      <c r="O141" s="162">
        <f t="shared" si="17"/>
        <v>33726930</v>
      </c>
      <c r="P141" s="85"/>
    </row>
    <row r="142" spans="1:16" ht="11.25">
      <c r="A142" s="3" t="s">
        <v>204</v>
      </c>
      <c r="C142" s="61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  <c r="O142" s="162">
        <f t="shared" si="17"/>
        <v>0</v>
      </c>
      <c r="P142" s="85"/>
    </row>
    <row r="143" spans="1:16" ht="11.25">
      <c r="A143" s="3" t="s">
        <v>205</v>
      </c>
      <c r="C143" s="61">
        <v>219300</v>
      </c>
      <c r="D143" s="62">
        <v>0</v>
      </c>
      <c r="E143" s="62">
        <v>0</v>
      </c>
      <c r="F143" s="62">
        <v>709300</v>
      </c>
      <c r="G143" s="62">
        <v>244000</v>
      </c>
      <c r="H143" s="62">
        <v>250100</v>
      </c>
      <c r="I143" s="62">
        <v>953250</v>
      </c>
      <c r="J143" s="62">
        <v>891750</v>
      </c>
      <c r="K143" s="62">
        <v>953250</v>
      </c>
      <c r="L143" s="62">
        <v>1290500</v>
      </c>
      <c r="M143" s="62">
        <v>1330450</v>
      </c>
      <c r="N143" s="63">
        <v>1272100</v>
      </c>
      <c r="O143" s="162">
        <f t="shared" si="17"/>
        <v>8114000</v>
      </c>
      <c r="P143" s="85"/>
    </row>
    <row r="144" spans="1:16" ht="11.25">
      <c r="A144" s="3" t="s">
        <v>116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  <c r="O144" s="162">
        <f t="shared" si="17"/>
        <v>0</v>
      </c>
      <c r="P144" s="85"/>
    </row>
    <row r="145" spans="1:16" ht="11.25">
      <c r="A145" s="3" t="s">
        <v>206</v>
      </c>
      <c r="C145" s="61">
        <v>-7769105</v>
      </c>
      <c r="D145" s="62">
        <v>-6214815</v>
      </c>
      <c r="E145" s="62">
        <v>-6537540</v>
      </c>
      <c r="F145" s="62">
        <v>-10044176.5</v>
      </c>
      <c r="G145" s="62">
        <v>-9708511.75</v>
      </c>
      <c r="H145" s="62">
        <v>-8553945.5</v>
      </c>
      <c r="I145" s="62">
        <v>-2620690</v>
      </c>
      <c r="J145" s="62">
        <v>-2525472.5</v>
      </c>
      <c r="K145" s="62">
        <v>-3199803.7</v>
      </c>
      <c r="L145" s="62">
        <v>-3006640</v>
      </c>
      <c r="M145" s="62">
        <v>-3057470</v>
      </c>
      <c r="N145" s="63">
        <v>-2757212</v>
      </c>
      <c r="O145" s="162">
        <f t="shared" si="17"/>
        <v>-65995381.95</v>
      </c>
      <c r="P145" s="85"/>
    </row>
    <row r="146" spans="1:16" ht="11.25">
      <c r="A146" s="2" t="s">
        <v>117</v>
      </c>
      <c r="B146" s="13"/>
      <c r="C146" s="88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6">
        <v>0</v>
      </c>
      <c r="O146" s="163">
        <f t="shared" si="17"/>
        <v>0</v>
      </c>
      <c r="P146" s="85"/>
    </row>
    <row r="147" spans="1:15" ht="11.25">
      <c r="A147" s="3" t="s">
        <v>77</v>
      </c>
      <c r="C147" s="58">
        <f aca="true" t="shared" si="18" ref="C147:N147">SUM(C139:C146)</f>
        <v>1283545</v>
      </c>
      <c r="D147" s="59">
        <f t="shared" si="18"/>
        <v>-3855315</v>
      </c>
      <c r="E147" s="59">
        <f t="shared" si="18"/>
        <v>-4199540</v>
      </c>
      <c r="F147" s="59">
        <f t="shared" si="18"/>
        <v>-7321676.5</v>
      </c>
      <c r="G147" s="59">
        <f t="shared" si="18"/>
        <v>-7888511.75</v>
      </c>
      <c r="H147" s="59">
        <f t="shared" si="18"/>
        <v>-6688445.5</v>
      </c>
      <c r="I147" s="59">
        <f t="shared" si="18"/>
        <v>-1108440</v>
      </c>
      <c r="J147" s="59">
        <f t="shared" si="18"/>
        <v>-1152722.5</v>
      </c>
      <c r="K147" s="59">
        <f t="shared" si="18"/>
        <v>-815253.7000000002</v>
      </c>
      <c r="L147" s="59">
        <f t="shared" si="18"/>
        <v>3375160</v>
      </c>
      <c r="M147" s="59">
        <f t="shared" si="18"/>
        <v>3520700</v>
      </c>
      <c r="N147" s="60">
        <f t="shared" si="18"/>
        <v>3526448</v>
      </c>
      <c r="O147" s="80">
        <f>SUM(O139:O146)</f>
        <v>-21324051.950000003</v>
      </c>
    </row>
    <row r="148" spans="3:15" ht="11.2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80"/>
    </row>
    <row r="149" spans="1:15" ht="11.25">
      <c r="A149" s="3" t="s">
        <v>78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80"/>
    </row>
    <row r="150" spans="1:16" ht="11.25">
      <c r="A150" s="3" t="s">
        <v>202</v>
      </c>
      <c r="C150" s="61">
        <v>3755048.8</v>
      </c>
      <c r="D150" s="62">
        <v>733425.2</v>
      </c>
      <c r="E150" s="62">
        <v>678069.75</v>
      </c>
      <c r="F150" s="62">
        <v>1131739.9</v>
      </c>
      <c r="G150" s="62">
        <v>21380.912</v>
      </c>
      <c r="H150" s="62">
        <v>283242.28</v>
      </c>
      <c r="I150" s="62">
        <v>80220.75</v>
      </c>
      <c r="J150" s="62">
        <v>307966.94</v>
      </c>
      <c r="K150" s="62">
        <v>434082.53</v>
      </c>
      <c r="L150" s="62">
        <v>1655314.8</v>
      </c>
      <c r="M150" s="62">
        <v>6060528.5</v>
      </c>
      <c r="N150" s="63">
        <v>5084311</v>
      </c>
      <c r="O150" s="162">
        <f aca="true" t="shared" si="19" ref="O150:O156">SUM(C150:N150)</f>
        <v>20225331.362000003</v>
      </c>
      <c r="P150" s="85"/>
    </row>
    <row r="151" spans="1:16" ht="11.25">
      <c r="A151" s="3" t="s">
        <v>203</v>
      </c>
      <c r="C151" s="61">
        <v>274410.28</v>
      </c>
      <c r="D151" s="62">
        <v>181747.62</v>
      </c>
      <c r="E151" s="62">
        <v>1143491.1</v>
      </c>
      <c r="F151" s="62">
        <v>281911.94</v>
      </c>
      <c r="G151" s="62">
        <v>538491.2</v>
      </c>
      <c r="H151" s="62">
        <v>734529.8</v>
      </c>
      <c r="I151" s="62">
        <v>1777901.6</v>
      </c>
      <c r="J151" s="62">
        <v>24842.77</v>
      </c>
      <c r="K151" s="62">
        <v>1858672.1</v>
      </c>
      <c r="L151" s="62">
        <v>282297.97</v>
      </c>
      <c r="M151" s="62">
        <v>130610.62</v>
      </c>
      <c r="N151" s="63">
        <v>546824</v>
      </c>
      <c r="O151" s="162">
        <f t="shared" si="19"/>
        <v>7775730.999999998</v>
      </c>
      <c r="P151" s="85"/>
    </row>
    <row r="152" spans="1:16" ht="11.25">
      <c r="A152" s="3" t="s">
        <v>28</v>
      </c>
      <c r="C152" s="61">
        <v>9472662</v>
      </c>
      <c r="D152" s="62">
        <v>14833876</v>
      </c>
      <c r="E152" s="62">
        <v>6794768</v>
      </c>
      <c r="F152" s="62">
        <v>6079622.5</v>
      </c>
      <c r="G152" s="62">
        <v>2936136.8</v>
      </c>
      <c r="H152" s="62">
        <v>2099650.5</v>
      </c>
      <c r="I152" s="62">
        <v>7978007.5</v>
      </c>
      <c r="J152" s="62">
        <v>12220214</v>
      </c>
      <c r="K152" s="62">
        <v>18277208</v>
      </c>
      <c r="L152" s="62">
        <v>14105245</v>
      </c>
      <c r="M152" s="62">
        <v>11949737</v>
      </c>
      <c r="N152" s="63">
        <v>9647188</v>
      </c>
      <c r="O152" s="162">
        <f t="shared" si="19"/>
        <v>116394315.3</v>
      </c>
      <c r="P152" s="85"/>
    </row>
    <row r="153" spans="1:16" ht="11.25">
      <c r="A153" s="3" t="s">
        <v>204</v>
      </c>
      <c r="C153" s="61">
        <v>4007185.2</v>
      </c>
      <c r="D153" s="62">
        <v>2210304.8</v>
      </c>
      <c r="E153" s="62">
        <v>1432588.9</v>
      </c>
      <c r="F153" s="62">
        <v>4693276.5</v>
      </c>
      <c r="G153" s="62">
        <v>3236804.5</v>
      </c>
      <c r="H153" s="62">
        <v>7340310.5</v>
      </c>
      <c r="I153" s="62">
        <v>3231644</v>
      </c>
      <c r="J153" s="62">
        <v>4967069.5</v>
      </c>
      <c r="K153" s="62">
        <v>3531523.5</v>
      </c>
      <c r="L153" s="62">
        <v>11826668</v>
      </c>
      <c r="M153" s="62">
        <v>3218504.2</v>
      </c>
      <c r="N153" s="63">
        <v>3333104</v>
      </c>
      <c r="O153" s="162">
        <f t="shared" si="19"/>
        <v>53028983.6</v>
      </c>
      <c r="P153" s="85"/>
    </row>
    <row r="154" spans="1:16" ht="11.25">
      <c r="A154" s="3" t="s">
        <v>205</v>
      </c>
      <c r="C154" s="87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151865.3</v>
      </c>
      <c r="M154" s="62">
        <v>120624.22</v>
      </c>
      <c r="N154" s="63">
        <v>47407.21</v>
      </c>
      <c r="O154" s="162">
        <f t="shared" si="19"/>
        <v>319896.73000000004</v>
      </c>
      <c r="P154" s="85"/>
    </row>
    <row r="155" spans="1:16" ht="11.25">
      <c r="A155" s="3" t="s">
        <v>118</v>
      </c>
      <c r="C155" s="61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3">
        <v>0</v>
      </c>
      <c r="O155" s="162">
        <f t="shared" si="19"/>
        <v>0</v>
      </c>
      <c r="P155" s="85"/>
    </row>
    <row r="156" spans="1:16" ht="11.25">
      <c r="A156" s="2" t="s">
        <v>207</v>
      </c>
      <c r="B156" s="13"/>
      <c r="C156" s="64">
        <v>4738.78855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74075.914</v>
      </c>
      <c r="N156" s="66">
        <v>0</v>
      </c>
      <c r="O156" s="163">
        <f t="shared" si="19"/>
        <v>78814.70255</v>
      </c>
      <c r="P156" s="85"/>
    </row>
    <row r="157" spans="1:15" ht="11.25">
      <c r="A157" s="3" t="s">
        <v>79</v>
      </c>
      <c r="C157" s="58">
        <f aca="true" t="shared" si="20" ref="C157:N157">SUM(C150:C156)</f>
        <v>17514045.06855</v>
      </c>
      <c r="D157" s="59">
        <f t="shared" si="20"/>
        <v>17959353.62</v>
      </c>
      <c r="E157" s="59">
        <f t="shared" si="20"/>
        <v>10048917.75</v>
      </c>
      <c r="F157" s="59">
        <f t="shared" si="20"/>
        <v>12186550.84</v>
      </c>
      <c r="G157" s="59">
        <f t="shared" si="20"/>
        <v>6732813.412</v>
      </c>
      <c r="H157" s="59">
        <f t="shared" si="20"/>
        <v>10457733.08</v>
      </c>
      <c r="I157" s="59">
        <f t="shared" si="20"/>
        <v>13067773.85</v>
      </c>
      <c r="J157" s="59">
        <f t="shared" si="20"/>
        <v>17520093.21</v>
      </c>
      <c r="K157" s="59">
        <f t="shared" si="20"/>
        <v>24101486.13</v>
      </c>
      <c r="L157" s="59">
        <f t="shared" si="20"/>
        <v>28021391.07</v>
      </c>
      <c r="M157" s="59">
        <f t="shared" si="20"/>
        <v>21554080.454</v>
      </c>
      <c r="N157" s="60">
        <f t="shared" si="20"/>
        <v>18658834.21</v>
      </c>
      <c r="O157" s="80">
        <f>SUM(O150:O156)</f>
        <v>197823072.69454998</v>
      </c>
    </row>
    <row r="158" spans="3:15" ht="11.2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80"/>
    </row>
    <row r="159" spans="1:15" ht="11.25">
      <c r="A159" s="6" t="s">
        <v>208</v>
      </c>
      <c r="B159" s="34"/>
      <c r="C159" s="67">
        <f aca="true" t="shared" si="21" ref="C159:N159">C119+C136+C147+C157</f>
        <v>63133526.13181479</v>
      </c>
      <c r="D159" s="68">
        <f t="shared" si="21"/>
        <v>60960580.85985337</v>
      </c>
      <c r="E159" s="68">
        <f t="shared" si="21"/>
        <v>43429105.44849173</v>
      </c>
      <c r="F159" s="68">
        <f t="shared" si="21"/>
        <v>42974034.09757742</v>
      </c>
      <c r="G159" s="68">
        <f t="shared" si="21"/>
        <v>39054038.92173565</v>
      </c>
      <c r="H159" s="68">
        <f t="shared" si="21"/>
        <v>48412624.25288036</v>
      </c>
      <c r="I159" s="68">
        <f t="shared" si="21"/>
        <v>53236658.403842255</v>
      </c>
      <c r="J159" s="68">
        <f t="shared" si="21"/>
        <v>52590078.46096191</v>
      </c>
      <c r="K159" s="68">
        <f t="shared" si="21"/>
        <v>59172690.87099828</v>
      </c>
      <c r="L159" s="68">
        <f t="shared" si="21"/>
        <v>62655036.71172621</v>
      </c>
      <c r="M159" s="68">
        <f t="shared" si="21"/>
        <v>56420179.43202621</v>
      </c>
      <c r="N159" s="69">
        <f t="shared" si="21"/>
        <v>52411903.80156084</v>
      </c>
      <c r="O159" s="81">
        <f>O119+O136+O147+O157</f>
        <v>634450457.3934691</v>
      </c>
    </row>
    <row r="160" spans="3:15" ht="11.2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80"/>
    </row>
    <row r="161" spans="3:15" ht="11.2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80"/>
    </row>
    <row r="162" spans="1:15" ht="11.25">
      <c r="A162" s="3" t="s">
        <v>210</v>
      </c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  <c r="O162" s="80"/>
    </row>
    <row r="163" spans="1:16" ht="11.25">
      <c r="A163" s="3" t="s">
        <v>80</v>
      </c>
      <c r="C163" s="61">
        <v>10984615.2</v>
      </c>
      <c r="D163" s="62">
        <v>11179306</v>
      </c>
      <c r="E163" s="62">
        <v>11504257.2</v>
      </c>
      <c r="F163" s="62">
        <v>11147390.1</v>
      </c>
      <c r="G163" s="62">
        <v>11550830.5</v>
      </c>
      <c r="H163" s="62">
        <v>12417186</v>
      </c>
      <c r="I163" s="62">
        <v>11903130.8</v>
      </c>
      <c r="J163" s="62">
        <v>11806207.8</v>
      </c>
      <c r="K163" s="62">
        <v>11804732.8</v>
      </c>
      <c r="L163" s="62">
        <v>11783714.2</v>
      </c>
      <c r="M163" s="62">
        <v>11133528.8</v>
      </c>
      <c r="N163" s="63">
        <v>11318287.5</v>
      </c>
      <c r="O163" s="162">
        <f>SUM(C163:N163)</f>
        <v>138533186.89999998</v>
      </c>
      <c r="P163" s="85"/>
    </row>
    <row r="164" spans="1:16" ht="11.25">
      <c r="A164" s="2" t="s">
        <v>81</v>
      </c>
      <c r="C164" s="64">
        <v>9006.175</v>
      </c>
      <c r="D164" s="65">
        <v>10558.302</v>
      </c>
      <c r="E164" s="65">
        <v>14228.203</v>
      </c>
      <c r="F164" s="65">
        <v>24982.506</v>
      </c>
      <c r="G164" s="65">
        <v>13779.355</v>
      </c>
      <c r="H164" s="65">
        <v>18073.309</v>
      </c>
      <c r="I164" s="65">
        <v>21958.746</v>
      </c>
      <c r="J164" s="65">
        <v>19989.59</v>
      </c>
      <c r="K164" s="65">
        <v>21738.217</v>
      </c>
      <c r="L164" s="65">
        <v>2269.415</v>
      </c>
      <c r="M164" s="65">
        <v>7235.561</v>
      </c>
      <c r="N164" s="66">
        <v>23888.973</v>
      </c>
      <c r="O164" s="162">
        <f>SUM(C164:N164)</f>
        <v>187708.352</v>
      </c>
      <c r="P164" s="85"/>
    </row>
    <row r="165" spans="1:15" ht="11.25">
      <c r="A165" s="6" t="s">
        <v>82</v>
      </c>
      <c r="B165" s="34"/>
      <c r="C165" s="67">
        <f aca="true" t="shared" si="22" ref="C165:N165">SUM(C163:C164)</f>
        <v>10993621.375</v>
      </c>
      <c r="D165" s="68">
        <f t="shared" si="22"/>
        <v>11189864.302</v>
      </c>
      <c r="E165" s="68">
        <f t="shared" si="22"/>
        <v>11518485.402999999</v>
      </c>
      <c r="F165" s="68">
        <f t="shared" si="22"/>
        <v>11172372.605999999</v>
      </c>
      <c r="G165" s="68">
        <f t="shared" si="22"/>
        <v>11564609.855</v>
      </c>
      <c r="H165" s="68">
        <f t="shared" si="22"/>
        <v>12435259.309</v>
      </c>
      <c r="I165" s="68">
        <f t="shared" si="22"/>
        <v>11925089.546</v>
      </c>
      <c r="J165" s="68">
        <f t="shared" si="22"/>
        <v>11826197.39</v>
      </c>
      <c r="K165" s="68">
        <f t="shared" si="22"/>
        <v>11826471.017</v>
      </c>
      <c r="L165" s="68">
        <f t="shared" si="22"/>
        <v>11785983.614999998</v>
      </c>
      <c r="M165" s="68">
        <f t="shared" si="22"/>
        <v>11140764.361000001</v>
      </c>
      <c r="N165" s="69">
        <f t="shared" si="22"/>
        <v>11342176.473</v>
      </c>
      <c r="O165" s="81">
        <f>SUM(O163:O164)</f>
        <v>138720895.25199997</v>
      </c>
    </row>
    <row r="166" spans="3:15" ht="11.25"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80"/>
    </row>
    <row r="167" spans="1:15" ht="11.25">
      <c r="A167" s="3" t="s">
        <v>211</v>
      </c>
      <c r="C167" s="17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60"/>
      <c r="O167" s="80"/>
    </row>
    <row r="168" spans="1:16" ht="11.25">
      <c r="A168" s="3" t="s">
        <v>44</v>
      </c>
      <c r="C168" s="61">
        <v>1661679.99289</v>
      </c>
      <c r="D168" s="62">
        <v>1787059.32507</v>
      </c>
      <c r="E168" s="62">
        <v>1709350.89903</v>
      </c>
      <c r="F168" s="62">
        <v>1766071.48235</v>
      </c>
      <c r="G168" s="62">
        <v>1740296.67501</v>
      </c>
      <c r="H168" s="62">
        <v>1818253.79976</v>
      </c>
      <c r="I168" s="62">
        <v>1609282.93917</v>
      </c>
      <c r="J168" s="62">
        <v>1521622.1404</v>
      </c>
      <c r="K168" s="62">
        <v>1674163.89218</v>
      </c>
      <c r="L168" s="62">
        <v>933500.07465</v>
      </c>
      <c r="M168" s="62">
        <v>1422951.63075</v>
      </c>
      <c r="N168" s="63">
        <v>1405258.68608</v>
      </c>
      <c r="O168" s="162">
        <f aca="true" t="shared" si="23" ref="O168:O179">SUM(C168:N168)</f>
        <v>19049491.53734</v>
      </c>
      <c r="P168" s="85"/>
    </row>
    <row r="169" spans="1:16" ht="11.25">
      <c r="A169" s="3" t="s">
        <v>45</v>
      </c>
      <c r="B169" s="10" t="s">
        <v>223</v>
      </c>
      <c r="C169" s="61">
        <v>4992346.3596</v>
      </c>
      <c r="D169" s="62">
        <v>5050462.5211</v>
      </c>
      <c r="E169" s="62">
        <v>4857999.0519</v>
      </c>
      <c r="F169" s="62">
        <v>4987854.5767</v>
      </c>
      <c r="G169" s="62">
        <v>4832181.1987</v>
      </c>
      <c r="H169" s="62">
        <v>4987394.2241</v>
      </c>
      <c r="I169" s="62">
        <v>4983258.9827</v>
      </c>
      <c r="J169" s="62">
        <v>4665805.2551</v>
      </c>
      <c r="K169" s="62">
        <v>4988401.3741</v>
      </c>
      <c r="L169" s="62">
        <v>4741526.3395</v>
      </c>
      <c r="M169" s="62">
        <v>2528745.6001</v>
      </c>
      <c r="N169" s="63">
        <v>4725799.3305</v>
      </c>
      <c r="O169" s="162">
        <f t="shared" si="23"/>
        <v>56341774.814100005</v>
      </c>
      <c r="P169" s="85"/>
    </row>
    <row r="170" spans="1:16" ht="11.25">
      <c r="A170" s="3" t="s">
        <v>46</v>
      </c>
      <c r="C170" s="61">
        <v>1256692.91085</v>
      </c>
      <c r="D170" s="62">
        <v>1269875.13936</v>
      </c>
      <c r="E170" s="62">
        <v>1228546.25184</v>
      </c>
      <c r="F170" s="62">
        <v>1267045.04592</v>
      </c>
      <c r="G170" s="62">
        <v>1228546.25184</v>
      </c>
      <c r="H170" s="62">
        <v>1268460.09264</v>
      </c>
      <c r="I170" s="62">
        <v>1268460.09264</v>
      </c>
      <c r="J170" s="62">
        <v>1187217.36432</v>
      </c>
      <c r="K170" s="62">
        <v>1268460.09264</v>
      </c>
      <c r="L170" s="62">
        <v>968465.89056</v>
      </c>
      <c r="M170" s="62">
        <v>1037461.21656</v>
      </c>
      <c r="N170" s="63">
        <v>1205875.54272</v>
      </c>
      <c r="O170" s="162">
        <f t="shared" si="23"/>
        <v>14455105.891889999</v>
      </c>
      <c r="P170" s="85"/>
    </row>
    <row r="171" spans="1:16" ht="11.25">
      <c r="A171" s="3" t="s">
        <v>47</v>
      </c>
      <c r="C171" s="61">
        <v>1963450.747</v>
      </c>
      <c r="D171" s="62">
        <v>1968555.8494</v>
      </c>
      <c r="E171" s="62">
        <v>1896964.5682</v>
      </c>
      <c r="F171" s="62">
        <v>1965030.2599</v>
      </c>
      <c r="G171" s="62">
        <v>1921179.312</v>
      </c>
      <c r="H171" s="62">
        <v>1984903.1952</v>
      </c>
      <c r="I171" s="62">
        <v>1984903.1952</v>
      </c>
      <c r="J171" s="62">
        <v>1857025.3008</v>
      </c>
      <c r="K171" s="62">
        <v>1984903.1952</v>
      </c>
      <c r="L171" s="62">
        <v>1920749.184</v>
      </c>
      <c r="M171" s="62">
        <v>1508360.928</v>
      </c>
      <c r="N171" s="63">
        <v>1908668.82432</v>
      </c>
      <c r="O171" s="162">
        <f t="shared" si="23"/>
        <v>22864694.559219997</v>
      </c>
      <c r="P171" s="85"/>
    </row>
    <row r="172" spans="1:16" ht="11.25">
      <c r="A172" s="3" t="s">
        <v>48</v>
      </c>
      <c r="C172" s="61">
        <v>5247493.387</v>
      </c>
      <c r="D172" s="62">
        <v>5328069.8131</v>
      </c>
      <c r="E172" s="62">
        <v>5107634.9198</v>
      </c>
      <c r="F172" s="62">
        <v>5241370.8751</v>
      </c>
      <c r="G172" s="62">
        <v>4902526.5554</v>
      </c>
      <c r="H172" s="62">
        <v>4559460.4624</v>
      </c>
      <c r="I172" s="62">
        <v>4240603.83389</v>
      </c>
      <c r="J172" s="62">
        <v>4742104.813</v>
      </c>
      <c r="K172" s="62">
        <v>5136359.4721</v>
      </c>
      <c r="L172" s="62">
        <v>3249429.6842</v>
      </c>
      <c r="M172" s="62">
        <v>4361917.0941</v>
      </c>
      <c r="N172" s="63">
        <v>4895273.19623</v>
      </c>
      <c r="O172" s="162">
        <f t="shared" si="23"/>
        <v>57012244.10632</v>
      </c>
      <c r="P172" s="85"/>
    </row>
    <row r="173" spans="1:16" ht="11.25">
      <c r="A173" s="3" t="s">
        <v>51</v>
      </c>
      <c r="C173" s="61">
        <v>1042786.562</v>
      </c>
      <c r="D173" s="62">
        <v>1053537.384</v>
      </c>
      <c r="E173" s="62">
        <v>1013577.428</v>
      </c>
      <c r="F173" s="62">
        <v>1048053.894</v>
      </c>
      <c r="G173" s="62">
        <v>1039741.1616</v>
      </c>
      <c r="H173" s="62">
        <v>1074304.0908</v>
      </c>
      <c r="I173" s="62">
        <v>1073464.85197</v>
      </c>
      <c r="J173" s="62">
        <v>1004934.2244</v>
      </c>
      <c r="K173" s="62">
        <v>1074304.0908</v>
      </c>
      <c r="L173" s="62">
        <v>543204.86297</v>
      </c>
      <c r="M173" s="62">
        <v>998888.88086</v>
      </c>
      <c r="N173" s="63">
        <v>878854.10018</v>
      </c>
      <c r="O173" s="162">
        <f t="shared" si="23"/>
        <v>11845651.53158</v>
      </c>
      <c r="P173" s="85"/>
    </row>
    <row r="174" spans="1:16" ht="11.25">
      <c r="A174" s="3" t="s">
        <v>53</v>
      </c>
      <c r="C174" s="61">
        <v>10806088.314</v>
      </c>
      <c r="D174" s="62">
        <v>11814171.4214</v>
      </c>
      <c r="E174" s="62">
        <v>11230473.4094</v>
      </c>
      <c r="F174" s="62">
        <v>11801651.4134</v>
      </c>
      <c r="G174" s="62">
        <v>11410837.6594</v>
      </c>
      <c r="H174" s="62">
        <v>11919973.3684</v>
      </c>
      <c r="I174" s="62">
        <v>12588016.0076</v>
      </c>
      <c r="J174" s="62">
        <v>11766896.4438</v>
      </c>
      <c r="K174" s="62">
        <v>11407973.4075</v>
      </c>
      <c r="L174" s="62">
        <v>9303454.2902</v>
      </c>
      <c r="M174" s="62">
        <v>12456340.0382</v>
      </c>
      <c r="N174" s="63">
        <v>11879029.9396</v>
      </c>
      <c r="O174" s="162">
        <f t="shared" si="23"/>
        <v>138384905.71289998</v>
      </c>
      <c r="P174" s="85"/>
    </row>
    <row r="175" spans="1:16" ht="11.25">
      <c r="A175" s="3" t="s">
        <v>54</v>
      </c>
      <c r="C175" s="61">
        <v>8641606.2455</v>
      </c>
      <c r="D175" s="62">
        <v>8995830.0471</v>
      </c>
      <c r="E175" s="62">
        <v>8224708.3948</v>
      </c>
      <c r="F175" s="62">
        <v>7108014.5169</v>
      </c>
      <c r="G175" s="62">
        <v>8214241.2874</v>
      </c>
      <c r="H175" s="62">
        <v>9112870.2954</v>
      </c>
      <c r="I175" s="62">
        <v>8570814.8203</v>
      </c>
      <c r="J175" s="62">
        <v>8065023.2598</v>
      </c>
      <c r="K175" s="62">
        <v>8615527.6432</v>
      </c>
      <c r="L175" s="62">
        <v>8267941.1257</v>
      </c>
      <c r="M175" s="62">
        <v>8149202.3974</v>
      </c>
      <c r="N175" s="63">
        <v>7860071.4955</v>
      </c>
      <c r="O175" s="162">
        <f t="shared" si="23"/>
        <v>99825851.529</v>
      </c>
      <c r="P175" s="85"/>
    </row>
    <row r="176" spans="1:16" ht="11.25">
      <c r="A176" s="3" t="s">
        <v>55</v>
      </c>
      <c r="C176" s="61">
        <v>17229544.4528</v>
      </c>
      <c r="D176" s="62">
        <v>17540321.2792</v>
      </c>
      <c r="E176" s="62">
        <v>16878473.499</v>
      </c>
      <c r="F176" s="62">
        <v>17692408.5817</v>
      </c>
      <c r="G176" s="62">
        <v>16395624.197</v>
      </c>
      <c r="H176" s="62">
        <v>16415374.8611</v>
      </c>
      <c r="I176" s="62">
        <v>16261169.6463</v>
      </c>
      <c r="J176" s="62">
        <v>15194706.3916</v>
      </c>
      <c r="K176" s="62">
        <v>15952920.1964</v>
      </c>
      <c r="L176" s="62">
        <v>12833755.7195</v>
      </c>
      <c r="M176" s="62">
        <v>12021871.7691</v>
      </c>
      <c r="N176" s="63">
        <v>13566926.0291</v>
      </c>
      <c r="O176" s="162">
        <f t="shared" si="23"/>
        <v>187983096.6228</v>
      </c>
      <c r="P176" s="85"/>
    </row>
    <row r="177" spans="1:16" ht="11.25">
      <c r="A177" s="3" t="s">
        <v>58</v>
      </c>
      <c r="C177" s="61">
        <v>9149081.2003</v>
      </c>
      <c r="D177" s="62">
        <v>9266356.7519</v>
      </c>
      <c r="E177" s="62">
        <v>8971613.4913</v>
      </c>
      <c r="F177" s="62">
        <v>9280096.1778</v>
      </c>
      <c r="G177" s="62">
        <v>8985138.6559</v>
      </c>
      <c r="H177" s="62">
        <v>9259299.8304</v>
      </c>
      <c r="I177" s="62">
        <v>9260602.219</v>
      </c>
      <c r="J177" s="62">
        <v>8661225.3402</v>
      </c>
      <c r="K177" s="62">
        <v>6551455.5003</v>
      </c>
      <c r="L177" s="62">
        <v>8662075.8457</v>
      </c>
      <c r="M177" s="62">
        <v>9213919.4693</v>
      </c>
      <c r="N177" s="63">
        <v>8788369.2683</v>
      </c>
      <c r="O177" s="162">
        <f t="shared" si="23"/>
        <v>106049233.75039999</v>
      </c>
      <c r="P177" s="85"/>
    </row>
    <row r="178" spans="1:16" ht="11.25">
      <c r="A178" s="3" t="s">
        <v>214</v>
      </c>
      <c r="C178" s="61">
        <v>-89606.8814117973</v>
      </c>
      <c r="D178" s="62">
        <v>-85872.9139306839</v>
      </c>
      <c r="E178" s="62">
        <v>-48314.54093332389</v>
      </c>
      <c r="F178" s="62">
        <v>-93356.59311700896</v>
      </c>
      <c r="G178" s="62">
        <v>-89895.24222973894</v>
      </c>
      <c r="H178" s="62">
        <v>-68871.33236718913</v>
      </c>
      <c r="I178" s="62">
        <v>-40181.0765279983</v>
      </c>
      <c r="J178" s="62">
        <v>-72929.79740719749</v>
      </c>
      <c r="K178" s="62">
        <v>-61392.63014158895</v>
      </c>
      <c r="L178" s="62">
        <v>-68822.00873571666</v>
      </c>
      <c r="M178" s="62">
        <v>-101577.26743556836</v>
      </c>
      <c r="N178" s="63">
        <v>-57930.42115484593</v>
      </c>
      <c r="O178" s="162">
        <f t="shared" si="23"/>
        <v>-878750.705392658</v>
      </c>
      <c r="P178" s="85"/>
    </row>
    <row r="179" spans="1:16" ht="11.25">
      <c r="A179" s="2" t="s">
        <v>59</v>
      </c>
      <c r="C179" s="64">
        <v>1741840.08</v>
      </c>
      <c r="D179" s="65">
        <v>1744121.9424</v>
      </c>
      <c r="E179" s="65">
        <v>1687565.5104</v>
      </c>
      <c r="F179" s="65">
        <v>1741840.08</v>
      </c>
      <c r="G179" s="65">
        <v>1728874.5408</v>
      </c>
      <c r="H179" s="65">
        <v>1785644.4672</v>
      </c>
      <c r="I179" s="65">
        <v>1785644.4672</v>
      </c>
      <c r="J179" s="65">
        <v>1670932.944</v>
      </c>
      <c r="K179" s="65">
        <v>1785644.4672</v>
      </c>
      <c r="L179" s="65">
        <v>1727702.8704</v>
      </c>
      <c r="M179" s="65">
        <v>1744121.9424</v>
      </c>
      <c r="N179" s="66">
        <v>1608953.1336</v>
      </c>
      <c r="O179" s="163">
        <f t="shared" si="23"/>
        <v>20752886.4456</v>
      </c>
      <c r="P179" s="85"/>
    </row>
    <row r="180" spans="1:15" ht="11.25">
      <c r="A180" s="6" t="s">
        <v>215</v>
      </c>
      <c r="B180" s="34"/>
      <c r="C180" s="67">
        <f aca="true" t="shared" si="24" ref="C180:N180">SUM(C168:C179)</f>
        <v>63643003.3705282</v>
      </c>
      <c r="D180" s="68">
        <f t="shared" si="24"/>
        <v>65732488.560099326</v>
      </c>
      <c r="E180" s="68">
        <f t="shared" si="24"/>
        <v>62758592.88273667</v>
      </c>
      <c r="F180" s="68">
        <f t="shared" si="24"/>
        <v>63806080.31065299</v>
      </c>
      <c r="G180" s="68">
        <f t="shared" si="24"/>
        <v>62309292.25282025</v>
      </c>
      <c r="H180" s="68">
        <f t="shared" si="24"/>
        <v>64117067.35503281</v>
      </c>
      <c r="I180" s="68">
        <f t="shared" si="24"/>
        <v>63586039.97944201</v>
      </c>
      <c r="J180" s="68">
        <f t="shared" si="24"/>
        <v>60264563.6800128</v>
      </c>
      <c r="K180" s="68">
        <f t="shared" si="24"/>
        <v>60378720.701478414</v>
      </c>
      <c r="L180" s="68">
        <f t="shared" si="24"/>
        <v>53082983.87864429</v>
      </c>
      <c r="M180" s="68">
        <f t="shared" si="24"/>
        <v>55342203.699334435</v>
      </c>
      <c r="N180" s="69">
        <f t="shared" si="24"/>
        <v>58665149.12497515</v>
      </c>
      <c r="O180" s="81">
        <f>SUM(O168:O179)</f>
        <v>733686185.7957574</v>
      </c>
    </row>
    <row r="181" spans="3:15" ht="11.25"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60"/>
      <c r="O181" s="80"/>
    </row>
    <row r="182" spans="1:15" ht="11.25">
      <c r="A182" s="3" t="s">
        <v>212</v>
      </c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80"/>
    </row>
    <row r="183" spans="1:16" ht="11.25">
      <c r="A183" s="3" t="s">
        <v>216</v>
      </c>
      <c r="C183" s="87">
        <v>0</v>
      </c>
      <c r="D183" s="62">
        <v>8518361.4835</v>
      </c>
      <c r="E183" s="62">
        <v>9528319.06</v>
      </c>
      <c r="F183" s="62">
        <v>8774135.996</v>
      </c>
      <c r="G183" s="62">
        <v>8965041.0105</v>
      </c>
      <c r="H183" s="62">
        <v>12116219.0478</v>
      </c>
      <c r="I183" s="62">
        <v>8057355.914700001</v>
      </c>
      <c r="J183" s="62">
        <v>78220.36199999996</v>
      </c>
      <c r="K183" s="62">
        <v>0</v>
      </c>
      <c r="L183" s="62">
        <v>0</v>
      </c>
      <c r="M183" s="62">
        <v>0</v>
      </c>
      <c r="N183" s="63">
        <v>0</v>
      </c>
      <c r="O183" s="162">
        <f aca="true" t="shared" si="25" ref="O183:O189">SUM(C183:N183)</f>
        <v>56037652.87450001</v>
      </c>
      <c r="P183" s="85"/>
    </row>
    <row r="184" spans="1:16" ht="11.25">
      <c r="A184" s="3" t="s">
        <v>42</v>
      </c>
      <c r="C184" s="61">
        <v>6800452.40581</v>
      </c>
      <c r="D184" s="62">
        <v>7000804.11078</v>
      </c>
      <c r="E184" s="62">
        <v>6735150.424399999</v>
      </c>
      <c r="F184" s="62">
        <v>6177297.39065</v>
      </c>
      <c r="G184" s="62">
        <v>7303734.280399999</v>
      </c>
      <c r="H184" s="62">
        <v>8384072.001049999</v>
      </c>
      <c r="I184" s="62">
        <v>8596805.624</v>
      </c>
      <c r="J184" s="62">
        <v>7890821.74946</v>
      </c>
      <c r="K184" s="62">
        <v>8054023.03444</v>
      </c>
      <c r="L184" s="62">
        <v>7060151.047760001</v>
      </c>
      <c r="M184" s="62">
        <v>7227833.482000001</v>
      </c>
      <c r="N184" s="63">
        <v>7124135.18835</v>
      </c>
      <c r="O184" s="162">
        <f t="shared" si="25"/>
        <v>88355280.7391</v>
      </c>
      <c r="P184" s="85"/>
    </row>
    <row r="185" spans="1:16" ht="11.25">
      <c r="A185" s="3" t="s">
        <v>49</v>
      </c>
      <c r="B185" s="10" t="s">
        <v>86</v>
      </c>
      <c r="C185" s="61">
        <v>1957848.07724</v>
      </c>
      <c r="D185" s="62">
        <v>1976440.3777500002</v>
      </c>
      <c r="E185" s="62">
        <v>151992.88632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568956.80504</v>
      </c>
      <c r="O185" s="162">
        <f t="shared" si="25"/>
        <v>4655238.14635</v>
      </c>
      <c r="P185" s="85"/>
    </row>
    <row r="186" spans="1:16" ht="11.25">
      <c r="A186" s="3" t="s">
        <v>50</v>
      </c>
      <c r="B186" s="10" t="s">
        <v>85</v>
      </c>
      <c r="C186" s="61">
        <v>1903534.99632</v>
      </c>
      <c r="D186" s="62">
        <v>1942946.7372</v>
      </c>
      <c r="E186" s="62">
        <v>1867612.14</v>
      </c>
      <c r="F186" s="62">
        <v>1936850.6987999997</v>
      </c>
      <c r="G186" s="62">
        <v>1951512.804</v>
      </c>
      <c r="H186" s="62">
        <v>2167098.5736</v>
      </c>
      <c r="I186" s="62">
        <v>2221538.32584</v>
      </c>
      <c r="J186" s="62">
        <v>1995045.4662000001</v>
      </c>
      <c r="K186" s="62">
        <v>2187545.256</v>
      </c>
      <c r="L186" s="62">
        <v>1999813.0176000001</v>
      </c>
      <c r="M186" s="62">
        <v>2049159.6935999999</v>
      </c>
      <c r="N186" s="63">
        <v>1985228.9136</v>
      </c>
      <c r="O186" s="162">
        <f t="shared" si="25"/>
        <v>24207886.622759998</v>
      </c>
      <c r="P186" s="85"/>
    </row>
    <row r="187" spans="1:16" ht="11.25">
      <c r="A187" s="3" t="s">
        <v>52</v>
      </c>
      <c r="C187" s="61">
        <v>2606191.4960513487</v>
      </c>
      <c r="D187" s="62">
        <v>5488260.995579925</v>
      </c>
      <c r="E187" s="62">
        <v>4758065.719518287</v>
      </c>
      <c r="F187" s="62">
        <v>5028588.172303975</v>
      </c>
      <c r="G187" s="62">
        <v>4986402.575705165</v>
      </c>
      <c r="H187" s="62">
        <v>5590089.849649864</v>
      </c>
      <c r="I187" s="62">
        <v>4632449.260551759</v>
      </c>
      <c r="J187" s="62">
        <v>3478513.8429314094</v>
      </c>
      <c r="K187" s="62">
        <v>1479090.6773977801</v>
      </c>
      <c r="L187" s="62">
        <v>1000406.7093957141</v>
      </c>
      <c r="M187" s="62">
        <v>1000406.7093957141</v>
      </c>
      <c r="N187" s="63">
        <v>1042788.2391303498</v>
      </c>
      <c r="O187" s="162">
        <f t="shared" si="25"/>
        <v>41091254.24761129</v>
      </c>
      <c r="P187" s="85"/>
    </row>
    <row r="188" spans="1:16" ht="11.25">
      <c r="A188" s="3" t="s">
        <v>56</v>
      </c>
      <c r="C188" s="61">
        <v>5566207.874364381</v>
      </c>
      <c r="D188" s="62">
        <v>8904572.821037475</v>
      </c>
      <c r="E188" s="62">
        <v>7164376.437426972</v>
      </c>
      <c r="F188" s="62">
        <v>5436963.560039551</v>
      </c>
      <c r="G188" s="62">
        <v>7812314.32983296</v>
      </c>
      <c r="H188" s="62">
        <v>9314737.830968617</v>
      </c>
      <c r="I188" s="62">
        <v>8565045.431857478</v>
      </c>
      <c r="J188" s="62">
        <v>8310458.960022183</v>
      </c>
      <c r="K188" s="62">
        <v>9248499.806725444</v>
      </c>
      <c r="L188" s="62">
        <v>3854099.5986084966</v>
      </c>
      <c r="M188" s="62">
        <v>3995099.530473017</v>
      </c>
      <c r="N188" s="63">
        <v>4589994.811749381</v>
      </c>
      <c r="O188" s="162">
        <f t="shared" si="25"/>
        <v>82762370.99310596</v>
      </c>
      <c r="P188" s="85"/>
    </row>
    <row r="189" spans="1:16" ht="11.25">
      <c r="A189" s="2" t="s">
        <v>57</v>
      </c>
      <c r="B189" s="13"/>
      <c r="C189" s="88">
        <v>0</v>
      </c>
      <c r="D189" s="65">
        <v>0</v>
      </c>
      <c r="E189" s="65">
        <v>0</v>
      </c>
      <c r="F189" s="65">
        <v>673827.4055999999</v>
      </c>
      <c r="G189" s="65">
        <v>773582.8848000001</v>
      </c>
      <c r="H189" s="65">
        <v>859021.6512000001</v>
      </c>
      <c r="I189" s="65">
        <v>880601.2415999998</v>
      </c>
      <c r="J189" s="65">
        <v>818917.8456000001</v>
      </c>
      <c r="K189" s="65">
        <v>0</v>
      </c>
      <c r="L189" s="65">
        <v>0</v>
      </c>
      <c r="M189" s="65">
        <v>0</v>
      </c>
      <c r="N189" s="66">
        <v>0</v>
      </c>
      <c r="O189" s="163">
        <f t="shared" si="25"/>
        <v>4005951.0288</v>
      </c>
      <c r="P189" s="85"/>
    </row>
    <row r="190" spans="1:15" ht="11.25">
      <c r="A190" s="3" t="s">
        <v>217</v>
      </c>
      <c r="C190" s="58">
        <f aca="true" t="shared" si="26" ref="C190:N190">SUM(C183:C189)</f>
        <v>18834234.84978573</v>
      </c>
      <c r="D190" s="59">
        <f t="shared" si="26"/>
        <v>33831386.525847405</v>
      </c>
      <c r="E190" s="59">
        <f t="shared" si="26"/>
        <v>30205516.66766526</v>
      </c>
      <c r="F190" s="59">
        <f t="shared" si="26"/>
        <v>28027663.223393526</v>
      </c>
      <c r="G190" s="59">
        <f t="shared" si="26"/>
        <v>31792587.885238126</v>
      </c>
      <c r="H190" s="59">
        <f t="shared" si="26"/>
        <v>38431238.95426848</v>
      </c>
      <c r="I190" s="59">
        <f t="shared" si="26"/>
        <v>32953795.798549235</v>
      </c>
      <c r="J190" s="59">
        <f t="shared" si="26"/>
        <v>22571978.226213597</v>
      </c>
      <c r="K190" s="59">
        <f t="shared" si="26"/>
        <v>20969158.774563223</v>
      </c>
      <c r="L190" s="59">
        <f t="shared" si="26"/>
        <v>13914470.373364214</v>
      </c>
      <c r="M190" s="59">
        <f t="shared" si="26"/>
        <v>14272499.41546873</v>
      </c>
      <c r="N190" s="60">
        <f t="shared" si="26"/>
        <v>15311103.95786973</v>
      </c>
      <c r="O190" s="80">
        <f>SUM(O183:O189)</f>
        <v>301115634.6522273</v>
      </c>
    </row>
    <row r="191" spans="3:15" ht="11.25"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80"/>
    </row>
    <row r="192" spans="1:16" ht="11.25">
      <c r="A192" s="3" t="s">
        <v>218</v>
      </c>
      <c r="C192" s="61">
        <v>-62155</v>
      </c>
      <c r="D192" s="62">
        <v>-61783</v>
      </c>
      <c r="E192" s="62">
        <v>-59910</v>
      </c>
      <c r="F192" s="62">
        <v>-64945</v>
      </c>
      <c r="G192" s="62">
        <v>59070</v>
      </c>
      <c r="H192" s="62">
        <v>63984</v>
      </c>
      <c r="I192" s="62">
        <v>-3100</v>
      </c>
      <c r="J192" s="62">
        <v>-2900</v>
      </c>
      <c r="K192" s="62">
        <v>-3100</v>
      </c>
      <c r="L192" s="62">
        <v>0</v>
      </c>
      <c r="M192" s="62">
        <v>0</v>
      </c>
      <c r="N192" s="63">
        <v>0</v>
      </c>
      <c r="O192" s="162">
        <f>SUM(C192:N192)</f>
        <v>-134839</v>
      </c>
      <c r="P192" s="85"/>
    </row>
    <row r="193" spans="1:16" ht="11.25">
      <c r="A193" s="3" t="s">
        <v>93</v>
      </c>
      <c r="C193" s="61">
        <v>15351262</v>
      </c>
      <c r="D193" s="62">
        <v>16752493</v>
      </c>
      <c r="E193" s="62">
        <v>15800040</v>
      </c>
      <c r="F193" s="62">
        <v>13093299.5</v>
      </c>
      <c r="G193" s="62">
        <v>13746675</v>
      </c>
      <c r="H193" s="62">
        <v>14549927</v>
      </c>
      <c r="I193" s="62">
        <v>10777553</v>
      </c>
      <c r="J193" s="62">
        <v>10020109</v>
      </c>
      <c r="K193" s="62">
        <v>8855305</v>
      </c>
      <c r="L193" s="62">
        <v>9873052.5</v>
      </c>
      <c r="M193" s="62">
        <v>13519867</v>
      </c>
      <c r="N193" s="63">
        <v>13615605</v>
      </c>
      <c r="O193" s="162">
        <f>SUM(C193:N193)</f>
        <v>155955188</v>
      </c>
      <c r="P193" s="85"/>
    </row>
    <row r="194" spans="1:16" ht="11.25">
      <c r="A194" s="3" t="s">
        <v>219</v>
      </c>
      <c r="C194" s="61">
        <v>53005.98</v>
      </c>
      <c r="D194" s="62">
        <v>53005.98</v>
      </c>
      <c r="E194" s="62">
        <v>53005.98</v>
      </c>
      <c r="F194" s="62">
        <v>53005.98</v>
      </c>
      <c r="G194" s="62">
        <v>-2841.7322</v>
      </c>
      <c r="H194" s="62">
        <v>-75883.89</v>
      </c>
      <c r="I194" s="62">
        <v>-102310.14</v>
      </c>
      <c r="J194" s="62">
        <v>-95904.414</v>
      </c>
      <c r="K194" s="62">
        <v>-85799.016</v>
      </c>
      <c r="L194" s="62">
        <v>53005.98</v>
      </c>
      <c r="M194" s="62">
        <v>53005.98</v>
      </c>
      <c r="N194" s="63">
        <v>53005.98</v>
      </c>
      <c r="O194" s="162">
        <f>SUM(C194:N194)</f>
        <v>8302.66780000001</v>
      </c>
      <c r="P194" s="85"/>
    </row>
    <row r="195" spans="1:16" ht="11.25">
      <c r="A195" s="3" t="s">
        <v>94</v>
      </c>
      <c r="C195" s="61">
        <v>2248946.36</v>
      </c>
      <c r="D195" s="62">
        <v>2248946.36</v>
      </c>
      <c r="E195" s="62">
        <v>2207955.86</v>
      </c>
      <c r="F195" s="62">
        <v>2248946.36</v>
      </c>
      <c r="G195" s="62">
        <v>2175756.2800000003</v>
      </c>
      <c r="H195" s="62">
        <v>2216746.7800000003</v>
      </c>
      <c r="I195" s="62">
        <v>2216746.7800000003</v>
      </c>
      <c r="J195" s="62">
        <v>2134765.7800000003</v>
      </c>
      <c r="K195" s="62">
        <v>2216746.7800000003</v>
      </c>
      <c r="L195" s="62">
        <v>2175756.2800000003</v>
      </c>
      <c r="M195" s="62">
        <v>2216746.7800000003</v>
      </c>
      <c r="N195" s="63">
        <v>2175756.2800000003</v>
      </c>
      <c r="O195" s="162">
        <f>SUM(C195:N195)</f>
        <v>26483816.680000007</v>
      </c>
      <c r="P195" s="85"/>
    </row>
    <row r="196" spans="3:15" ht="11.25"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80"/>
    </row>
    <row r="197" spans="1:15" ht="11.25">
      <c r="A197" s="6" t="s">
        <v>220</v>
      </c>
      <c r="B197" s="34"/>
      <c r="C197" s="67">
        <f aca="true" t="shared" si="27" ref="C197:N197">C190+SUM(C192:C195)</f>
        <v>36425294.189785734</v>
      </c>
      <c r="D197" s="68">
        <f t="shared" si="27"/>
        <v>52824048.86584741</v>
      </c>
      <c r="E197" s="68">
        <f t="shared" si="27"/>
        <v>48206608.50766526</v>
      </c>
      <c r="F197" s="68">
        <f t="shared" si="27"/>
        <v>43357970.063393526</v>
      </c>
      <c r="G197" s="68">
        <f t="shared" si="27"/>
        <v>47771247.43303813</v>
      </c>
      <c r="H197" s="68">
        <f t="shared" si="27"/>
        <v>55186012.84426848</v>
      </c>
      <c r="I197" s="68">
        <f t="shared" si="27"/>
        <v>45842685.438549235</v>
      </c>
      <c r="J197" s="68">
        <f t="shared" si="27"/>
        <v>34628048.5922136</v>
      </c>
      <c r="K197" s="68">
        <f t="shared" si="27"/>
        <v>31952311.53856322</v>
      </c>
      <c r="L197" s="68">
        <f t="shared" si="27"/>
        <v>26016285.133364215</v>
      </c>
      <c r="M197" s="68">
        <f t="shared" si="27"/>
        <v>30062119.17546873</v>
      </c>
      <c r="N197" s="69">
        <f t="shared" si="27"/>
        <v>31155471.217869733</v>
      </c>
      <c r="O197" s="81">
        <f>O190+SUM(O192:O195)</f>
        <v>483428103.0000273</v>
      </c>
    </row>
    <row r="198" spans="3:15" ht="11.25"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60"/>
      <c r="O198" s="80">
        <f>SUM(O192:O195)</f>
        <v>182312468.34780002</v>
      </c>
    </row>
    <row r="199" spans="1:15" ht="11.25">
      <c r="A199" s="3" t="s">
        <v>213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80"/>
    </row>
    <row r="200" spans="1:16" ht="11.25">
      <c r="A200" s="3" t="s">
        <v>60</v>
      </c>
      <c r="C200" s="61">
        <v>306096.54768</v>
      </c>
      <c r="D200" s="62">
        <v>305955.47472</v>
      </c>
      <c r="E200" s="62">
        <v>305655.8688</v>
      </c>
      <c r="F200" s="62">
        <v>325844.68416</v>
      </c>
      <c r="G200" s="62">
        <v>324759.35856</v>
      </c>
      <c r="H200" s="62">
        <v>335641.40376</v>
      </c>
      <c r="I200" s="62">
        <v>335641.40376</v>
      </c>
      <c r="J200" s="62">
        <v>313954.67688</v>
      </c>
      <c r="K200" s="62">
        <v>335641.40376</v>
      </c>
      <c r="L200" s="62">
        <v>168165.79056</v>
      </c>
      <c r="M200" s="62">
        <v>315824.9808</v>
      </c>
      <c r="N200" s="63">
        <v>296174.68272</v>
      </c>
      <c r="O200" s="162">
        <f>SUM(C200:N200)</f>
        <v>3669356.2761600004</v>
      </c>
      <c r="P200" s="85"/>
    </row>
    <row r="201" spans="1:16" ht="11.25">
      <c r="A201" s="2" t="s">
        <v>87</v>
      </c>
      <c r="C201" s="64">
        <v>260040.52115123035</v>
      </c>
      <c r="D201" s="65">
        <v>260353.62973962713</v>
      </c>
      <c r="E201" s="65">
        <v>273734.621364744</v>
      </c>
      <c r="F201" s="65">
        <v>326812.249262088</v>
      </c>
      <c r="G201" s="65">
        <v>385351.5655572479</v>
      </c>
      <c r="H201" s="65">
        <v>415489.4347215744</v>
      </c>
      <c r="I201" s="65">
        <v>426636.2584322299</v>
      </c>
      <c r="J201" s="65">
        <v>350486.44199498993</v>
      </c>
      <c r="K201" s="65">
        <v>388453.405210696</v>
      </c>
      <c r="L201" s="65">
        <v>318217.01673770393</v>
      </c>
      <c r="M201" s="65">
        <v>305701.921274498</v>
      </c>
      <c r="N201" s="66">
        <v>280084.598317538</v>
      </c>
      <c r="O201" s="162">
        <f>SUM(C201:N201)</f>
        <v>3991361.663764167</v>
      </c>
      <c r="P201" s="85"/>
    </row>
    <row r="202" spans="1:15" ht="11.25">
      <c r="A202" s="6" t="s">
        <v>221</v>
      </c>
      <c r="B202" s="34"/>
      <c r="C202" s="67">
        <f aca="true" t="shared" si="28" ref="C202:N202">SUM(C200:C201)</f>
        <v>566137.0688312304</v>
      </c>
      <c r="D202" s="68">
        <f t="shared" si="28"/>
        <v>566309.1044596271</v>
      </c>
      <c r="E202" s="68">
        <f t="shared" si="28"/>
        <v>579390.490164744</v>
      </c>
      <c r="F202" s="68">
        <f t="shared" si="28"/>
        <v>652656.9334220879</v>
      </c>
      <c r="G202" s="68">
        <f t="shared" si="28"/>
        <v>710110.9241172479</v>
      </c>
      <c r="H202" s="68">
        <f t="shared" si="28"/>
        <v>751130.8384815744</v>
      </c>
      <c r="I202" s="68">
        <f t="shared" si="28"/>
        <v>762277.6621922299</v>
      </c>
      <c r="J202" s="68">
        <f t="shared" si="28"/>
        <v>664441.1188749899</v>
      </c>
      <c r="K202" s="68">
        <f t="shared" si="28"/>
        <v>724094.8089706961</v>
      </c>
      <c r="L202" s="68">
        <f t="shared" si="28"/>
        <v>486382.8072977039</v>
      </c>
      <c r="M202" s="68">
        <f t="shared" si="28"/>
        <v>621526.902074498</v>
      </c>
      <c r="N202" s="69">
        <f t="shared" si="28"/>
        <v>576259.281037538</v>
      </c>
      <c r="O202" s="81">
        <f>SUM(O200:O201)</f>
        <v>7660717.9399241675</v>
      </c>
    </row>
    <row r="203" spans="1:15" ht="12" thickBot="1">
      <c r="A203" s="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82"/>
    </row>
    <row r="204" spans="1:15" ht="12.75" thickBot="1" thickTop="1">
      <c r="A204" s="8" t="s">
        <v>9</v>
      </c>
      <c r="B204" s="36"/>
      <c r="C204" s="73">
        <f aca="true" t="shared" si="29" ref="C204:N204">-C41+C159+C165+C180+C197+C202</f>
        <v>140131690.29275998</v>
      </c>
      <c r="D204" s="74">
        <f t="shared" si="29"/>
        <v>151458071.99305972</v>
      </c>
      <c r="E204" s="74">
        <f t="shared" si="29"/>
        <v>126184995.6845584</v>
      </c>
      <c r="F204" s="74">
        <f t="shared" si="29"/>
        <v>114016576.01484603</v>
      </c>
      <c r="G204" s="74">
        <f t="shared" si="29"/>
        <v>113851506.6592113</v>
      </c>
      <c r="H204" s="74">
        <f t="shared" si="29"/>
        <v>124881814.48346323</v>
      </c>
      <c r="I204" s="74">
        <f t="shared" si="29"/>
        <v>128942811.77382572</v>
      </c>
      <c r="J204" s="74">
        <f t="shared" si="29"/>
        <v>118627509.8608633</v>
      </c>
      <c r="K204" s="74">
        <f t="shared" si="29"/>
        <v>121455887.8478106</v>
      </c>
      <c r="L204" s="74">
        <f t="shared" si="29"/>
        <v>120311084.36353242</v>
      </c>
      <c r="M204" s="74">
        <f t="shared" si="29"/>
        <v>125880766.45770387</v>
      </c>
      <c r="N204" s="75">
        <f t="shared" si="29"/>
        <v>122703054.56794326</v>
      </c>
      <c r="O204" s="83">
        <f>-O41+O159+O165+O180+O197+O202</f>
        <v>1508445769.999578</v>
      </c>
    </row>
    <row r="205" spans="1:16" ht="12" thickTop="1">
      <c r="A205" s="49" t="s">
        <v>305</v>
      </c>
      <c r="C205" s="90">
        <v>140131690</v>
      </c>
      <c r="D205" s="91">
        <v>151458072</v>
      </c>
      <c r="E205" s="91">
        <v>126184996</v>
      </c>
      <c r="F205" s="91">
        <v>114016576</v>
      </c>
      <c r="G205" s="91">
        <v>113851507</v>
      </c>
      <c r="H205" s="91">
        <v>124881814</v>
      </c>
      <c r="I205" s="91">
        <v>128942812</v>
      </c>
      <c r="J205" s="91">
        <v>118627510</v>
      </c>
      <c r="K205" s="91">
        <v>121455888</v>
      </c>
      <c r="L205" s="91">
        <v>120311084</v>
      </c>
      <c r="M205" s="91">
        <v>125880766</v>
      </c>
      <c r="N205" s="91">
        <v>122703055</v>
      </c>
      <c r="O205" s="91">
        <v>1508445770</v>
      </c>
      <c r="P205" s="91"/>
    </row>
    <row r="206" spans="1:16" ht="11.25">
      <c r="A206" s="234" t="s">
        <v>309</v>
      </c>
      <c r="C206" s="90">
        <f>C204-C205</f>
        <v>0.2927599847316742</v>
      </c>
      <c r="D206" s="91">
        <f aca="true" t="shared" si="30" ref="D206:O206">D204-D205</f>
        <v>-0.006940275430679321</v>
      </c>
      <c r="E206" s="91">
        <f t="shared" si="30"/>
        <v>-0.3154415935277939</v>
      </c>
      <c r="F206" s="91">
        <f t="shared" si="30"/>
        <v>0.01484602689743042</v>
      </c>
      <c r="G206" s="91">
        <f t="shared" si="30"/>
        <v>-0.34078870713710785</v>
      </c>
      <c r="H206" s="91">
        <f t="shared" si="30"/>
        <v>0.48346322774887085</v>
      </c>
      <c r="I206" s="91">
        <f t="shared" si="30"/>
        <v>-0.2261742800474167</v>
      </c>
      <c r="J206" s="91">
        <f t="shared" si="30"/>
        <v>-0.13913670182228088</v>
      </c>
      <c r="K206" s="91">
        <f t="shared" si="30"/>
        <v>-0.15218940377235413</v>
      </c>
      <c r="L206" s="91">
        <f t="shared" si="30"/>
        <v>0.3635324239730835</v>
      </c>
      <c r="M206" s="91">
        <f t="shared" si="30"/>
        <v>0.4577038735151291</v>
      </c>
      <c r="N206" s="91">
        <f t="shared" si="30"/>
        <v>-0.4320567399263382</v>
      </c>
      <c r="O206" s="91">
        <f t="shared" si="30"/>
        <v>-0.0004220008850097656</v>
      </c>
      <c r="P206" s="91"/>
    </row>
    <row r="207" spans="3:16" ht="11.25"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3:15" ht="11.25"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6" ht="11.25">
      <c r="A209" s="232" t="s">
        <v>326</v>
      </c>
      <c r="D209" s="231" t="s">
        <v>326</v>
      </c>
      <c r="E209" s="59"/>
      <c r="G209" s="231" t="s">
        <v>326</v>
      </c>
      <c r="H209" s="59"/>
      <c r="K209" s="231" t="s">
        <v>326</v>
      </c>
      <c r="N209" s="231" t="s">
        <v>326</v>
      </c>
      <c r="O209" s="3"/>
      <c r="P209" s="3"/>
    </row>
    <row r="211" spans="3:16" ht="11.25"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3"/>
      <c r="O211" s="3"/>
      <c r="P211" s="3"/>
    </row>
    <row r="212" spans="1:19" ht="11.25">
      <c r="A212" s="41" t="s">
        <v>352</v>
      </c>
      <c r="B212" s="4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4"/>
      <c r="P212" s="84"/>
      <c r="Q212" s="40"/>
      <c r="R212" s="40"/>
      <c r="S212" s="40"/>
    </row>
    <row r="214" ht="11.25">
      <c r="A214" s="5" t="s">
        <v>301</v>
      </c>
    </row>
    <row r="215" spans="1:15" ht="11.25">
      <c r="A215" s="95" t="s">
        <v>28</v>
      </c>
      <c r="B215" s="30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92"/>
    </row>
    <row r="216" spans="1:15" ht="11.25">
      <c r="A216" s="94" t="s">
        <v>236</v>
      </c>
      <c r="B216" s="2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171">
        <v>0.3</v>
      </c>
    </row>
    <row r="217" spans="1:15" ht="11.25">
      <c r="A217" s="94" t="s">
        <v>237</v>
      </c>
      <c r="B217" s="2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172">
        <f>1-O216</f>
        <v>0.7</v>
      </c>
    </row>
    <row r="218" spans="1:15" ht="11.25">
      <c r="A218" s="96" t="s">
        <v>29</v>
      </c>
      <c r="B218" s="2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93"/>
    </row>
    <row r="219" spans="1:15" ht="11.25">
      <c r="A219" s="94" t="s">
        <v>236</v>
      </c>
      <c r="B219" s="2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170">
        <v>0.2073628</v>
      </c>
    </row>
    <row r="220" spans="1:15" ht="11.25">
      <c r="A220" s="94" t="s">
        <v>237</v>
      </c>
      <c r="B220" s="2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69">
        <f>1-O219</f>
        <v>0.7926371999999999</v>
      </c>
    </row>
    <row r="221" spans="1:15" ht="11.25">
      <c r="A221" s="96" t="s">
        <v>91</v>
      </c>
      <c r="B221" s="2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93"/>
    </row>
    <row r="222" spans="1:15" ht="11.25">
      <c r="A222" s="94" t="s">
        <v>236</v>
      </c>
      <c r="B222" s="2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170">
        <v>0.1702955</v>
      </c>
    </row>
    <row r="223" spans="1:15" ht="11.25">
      <c r="A223" s="94" t="s">
        <v>237</v>
      </c>
      <c r="B223" s="2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169">
        <f>1-O222</f>
        <v>0.8297045000000001</v>
      </c>
    </row>
    <row r="224" spans="1:15" ht="11.25">
      <c r="A224" s="96" t="s">
        <v>92</v>
      </c>
      <c r="B224" s="2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93"/>
    </row>
    <row r="225" spans="1:15" ht="11.25">
      <c r="A225" s="94" t="s">
        <v>236</v>
      </c>
      <c r="B225" s="2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171">
        <v>0.7</v>
      </c>
    </row>
    <row r="226" spans="1:15" ht="11.25">
      <c r="A226" s="94" t="s">
        <v>237</v>
      </c>
      <c r="B226" s="2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172">
        <f>1-O225</f>
        <v>0.30000000000000004</v>
      </c>
    </row>
    <row r="227" spans="1:15" ht="11.25">
      <c r="A227" s="96" t="s">
        <v>91</v>
      </c>
      <c r="B227" s="2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93"/>
    </row>
    <row r="228" spans="1:15" ht="11.25">
      <c r="A228" s="94" t="s">
        <v>238</v>
      </c>
      <c r="B228" s="2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74">
        <v>0.4622503253652875</v>
      </c>
    </row>
    <row r="229" spans="1:15" ht="11.25">
      <c r="A229" s="94" t="s">
        <v>239</v>
      </c>
      <c r="B229" s="2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169">
        <f>1-O228</f>
        <v>0.5377496746347126</v>
      </c>
    </row>
    <row r="230" spans="1:15" ht="11.25">
      <c r="A230" s="96" t="s">
        <v>92</v>
      </c>
      <c r="B230" s="2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93"/>
    </row>
    <row r="231" spans="1:15" ht="11.25">
      <c r="A231" s="94" t="s">
        <v>238</v>
      </c>
      <c r="B231" s="2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74">
        <v>0.6691650475559511</v>
      </c>
    </row>
    <row r="232" spans="1:15" ht="11.25">
      <c r="A232" s="26" t="s">
        <v>239</v>
      </c>
      <c r="B232" s="13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173">
        <f>1-O231</f>
        <v>0.3308349524440489</v>
      </c>
    </row>
    <row r="235" ht="11.25">
      <c r="A235" s="5" t="s">
        <v>354</v>
      </c>
    </row>
    <row r="236" spans="1:15" ht="11.25">
      <c r="A236" s="15" t="s">
        <v>302</v>
      </c>
      <c r="B236" s="2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16"/>
    </row>
    <row r="237" spans="1:16" ht="11.25">
      <c r="A237" s="17" t="s">
        <v>229</v>
      </c>
      <c r="B237" s="24"/>
      <c r="C237" s="62">
        <v>50000</v>
      </c>
      <c r="D237" s="62">
        <v>50000</v>
      </c>
      <c r="E237" s="62">
        <v>50000</v>
      </c>
      <c r="F237" s="62">
        <v>50000</v>
      </c>
      <c r="G237" s="62">
        <v>50000</v>
      </c>
      <c r="H237" s="62">
        <v>50000</v>
      </c>
      <c r="I237" s="62">
        <v>50000</v>
      </c>
      <c r="J237" s="62">
        <v>50000</v>
      </c>
      <c r="K237" s="62">
        <v>50000</v>
      </c>
      <c r="L237" s="62">
        <v>50000</v>
      </c>
      <c r="M237" s="62">
        <v>50000</v>
      </c>
      <c r="N237" s="62">
        <v>50000</v>
      </c>
      <c r="O237" s="37">
        <f>SUM(C237:N237)</f>
        <v>600000</v>
      </c>
      <c r="P237" s="85">
        <f>SUM(C237:N237)-O237</f>
        <v>0</v>
      </c>
    </row>
    <row r="238" spans="1:16" ht="11.25">
      <c r="A238" s="17" t="s">
        <v>228</v>
      </c>
      <c r="B238" s="25"/>
      <c r="C238" s="59">
        <f aca="true" t="shared" si="31" ref="C238:O238">C124-C237</f>
        <v>35749.46000000001</v>
      </c>
      <c r="D238" s="129">
        <f t="shared" si="31"/>
        <v>40604.240000000005</v>
      </c>
      <c r="E238" s="129">
        <f t="shared" si="31"/>
        <v>153992.95</v>
      </c>
      <c r="F238" s="129">
        <f t="shared" si="31"/>
        <v>47825.020000000004</v>
      </c>
      <c r="G238" s="129">
        <f t="shared" si="31"/>
        <v>91622.70000000001</v>
      </c>
      <c r="H238" s="129">
        <f t="shared" si="31"/>
        <v>167533.72</v>
      </c>
      <c r="I238" s="129">
        <f t="shared" si="31"/>
        <v>85555.47</v>
      </c>
      <c r="J238" s="129">
        <f t="shared" si="31"/>
        <v>48383.34</v>
      </c>
      <c r="K238" s="129">
        <f t="shared" si="31"/>
        <v>50329</v>
      </c>
      <c r="L238" s="129">
        <f t="shared" si="31"/>
        <v>21369.089999999997</v>
      </c>
      <c r="M238" s="129">
        <f t="shared" si="31"/>
        <v>41910.17999999999</v>
      </c>
      <c r="N238" s="129">
        <f t="shared" si="31"/>
        <v>91716.14000000001</v>
      </c>
      <c r="O238" s="168">
        <f t="shared" si="31"/>
        <v>876591.31</v>
      </c>
      <c r="P238" s="85">
        <f>SUM(C238:N238)-O238</f>
        <v>0</v>
      </c>
    </row>
    <row r="239" spans="1:15" ht="11.25">
      <c r="A239" s="18" t="s">
        <v>296</v>
      </c>
      <c r="B239" s="2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37"/>
    </row>
    <row r="240" spans="1:16" ht="11.25">
      <c r="A240" s="17" t="s">
        <v>229</v>
      </c>
      <c r="B240" s="24"/>
      <c r="C240" s="97">
        <f aca="true" t="shared" si="32" ref="C240:N240">$O$216*(C51+SUM(C111:C116))</f>
        <v>463642.866</v>
      </c>
      <c r="D240" s="97">
        <f t="shared" si="32"/>
        <v>386048.187</v>
      </c>
      <c r="E240" s="97">
        <f t="shared" si="32"/>
        <v>363210.5657999999</v>
      </c>
      <c r="F240" s="97">
        <f t="shared" si="32"/>
        <v>52362.45779999998</v>
      </c>
      <c r="G240" s="97">
        <f t="shared" si="32"/>
        <v>-56788.06649999999</v>
      </c>
      <c r="H240" s="97">
        <f t="shared" si="32"/>
        <v>-59310.11609999999</v>
      </c>
      <c r="I240" s="97">
        <f t="shared" si="32"/>
        <v>-40042.457399999985</v>
      </c>
      <c r="J240" s="97">
        <f t="shared" si="32"/>
        <v>-45144.94199999999</v>
      </c>
      <c r="K240" s="97">
        <f t="shared" si="32"/>
        <v>-28076.939999999984</v>
      </c>
      <c r="L240" s="97">
        <f t="shared" si="32"/>
        <v>-8857.667999999981</v>
      </c>
      <c r="M240" s="97">
        <f t="shared" si="32"/>
        <v>22244.220000000005</v>
      </c>
      <c r="N240" s="97">
        <f t="shared" si="32"/>
        <v>32034.85800000001</v>
      </c>
      <c r="O240" s="37">
        <f>$O$216*(O51+SUM(O111:O116))</f>
        <v>1081322.9645999994</v>
      </c>
      <c r="P240" s="85">
        <f aca="true" t="shared" si="33" ref="P240:P260">SUM(C240:N240)-O240</f>
        <v>0</v>
      </c>
    </row>
    <row r="241" spans="1:16" ht="11.25">
      <c r="A241" s="17" t="s">
        <v>228</v>
      </c>
      <c r="B241" s="25"/>
      <c r="C241" s="97">
        <f aca="true" t="shared" si="34" ref="C241:N241">$O$217*(C51+SUM(C111:C116))</f>
        <v>1081833.3539999998</v>
      </c>
      <c r="D241" s="97">
        <f t="shared" si="34"/>
        <v>900779.103</v>
      </c>
      <c r="E241" s="97">
        <f t="shared" si="34"/>
        <v>847491.3201999997</v>
      </c>
      <c r="F241" s="97">
        <f t="shared" si="34"/>
        <v>122179.06819999997</v>
      </c>
      <c r="G241" s="97">
        <f t="shared" si="34"/>
        <v>-132505.48849999998</v>
      </c>
      <c r="H241" s="97">
        <f t="shared" si="34"/>
        <v>-138390.27089999997</v>
      </c>
      <c r="I241" s="97">
        <f t="shared" si="34"/>
        <v>-93432.40059999996</v>
      </c>
      <c r="J241" s="97">
        <f t="shared" si="34"/>
        <v>-105338.19799999996</v>
      </c>
      <c r="K241" s="97">
        <f t="shared" si="34"/>
        <v>-65512.85999999996</v>
      </c>
      <c r="L241" s="97">
        <f t="shared" si="34"/>
        <v>-20667.891999999956</v>
      </c>
      <c r="M241" s="97">
        <f t="shared" si="34"/>
        <v>51903.180000000015</v>
      </c>
      <c r="N241" s="97">
        <f t="shared" si="34"/>
        <v>74748.00200000002</v>
      </c>
      <c r="O241" s="37">
        <f>$O$217*(O51+SUM(O111:O116))</f>
        <v>2523086.9173999988</v>
      </c>
      <c r="P241" s="85">
        <f t="shared" si="33"/>
        <v>0</v>
      </c>
    </row>
    <row r="242" spans="1:15" ht="11.25">
      <c r="A242" s="18" t="s">
        <v>297</v>
      </c>
      <c r="B242" s="2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37"/>
    </row>
    <row r="243" spans="1:16" ht="11.25">
      <c r="A243" s="17" t="s">
        <v>229</v>
      </c>
      <c r="B243" s="24"/>
      <c r="C243" s="59">
        <f aca="true" t="shared" si="35" ref="C243:N243">$O$219*(C54+C66)</f>
        <v>151892.40081252</v>
      </c>
      <c r="D243" s="59">
        <f t="shared" si="35"/>
        <v>157957.69220916802</v>
      </c>
      <c r="E243" s="59">
        <f t="shared" si="35"/>
        <v>120459.10341172002</v>
      </c>
      <c r="F243" s="59">
        <f t="shared" si="35"/>
        <v>104856.085378464</v>
      </c>
      <c r="G243" s="59">
        <f t="shared" si="35"/>
        <v>91140.234715448</v>
      </c>
      <c r="H243" s="59">
        <f t="shared" si="35"/>
        <v>112364.3025244</v>
      </c>
      <c r="I243" s="59">
        <f t="shared" si="35"/>
        <v>111149.214577984</v>
      </c>
      <c r="J243" s="59">
        <f t="shared" si="35"/>
        <v>94136.8013602</v>
      </c>
      <c r="K243" s="59">
        <f t="shared" si="35"/>
        <v>102298.808531</v>
      </c>
      <c r="L243" s="59">
        <f t="shared" si="35"/>
        <v>113597.69645880001</v>
      </c>
      <c r="M243" s="59">
        <f t="shared" si="35"/>
        <v>127688.20608160002</v>
      </c>
      <c r="N243" s="59">
        <f t="shared" si="35"/>
        <v>136132.51696832</v>
      </c>
      <c r="O243" s="37">
        <f>$O$219*(O54+O66)</f>
        <v>1423673.063029624</v>
      </c>
      <c r="P243" s="85">
        <f t="shared" si="33"/>
        <v>0</v>
      </c>
    </row>
    <row r="244" spans="1:16" ht="11.25">
      <c r="A244" s="17" t="s">
        <v>228</v>
      </c>
      <c r="B244" s="25"/>
      <c r="C244" s="59">
        <f aca="true" t="shared" si="36" ref="C244:N244">$O$220*(C54+C66)</f>
        <v>580603.49918748</v>
      </c>
      <c r="D244" s="59">
        <f t="shared" si="36"/>
        <v>603787.867790832</v>
      </c>
      <c r="E244" s="59">
        <f t="shared" si="36"/>
        <v>460450.79658828</v>
      </c>
      <c r="F244" s="59">
        <f t="shared" si="36"/>
        <v>400808.794621536</v>
      </c>
      <c r="G244" s="59">
        <f t="shared" si="36"/>
        <v>348380.4252845519</v>
      </c>
      <c r="H244" s="59">
        <f t="shared" si="36"/>
        <v>429508.69747559994</v>
      </c>
      <c r="I244" s="59">
        <f t="shared" si="36"/>
        <v>424864.06542201596</v>
      </c>
      <c r="J244" s="59">
        <f t="shared" si="36"/>
        <v>359834.69863979996</v>
      </c>
      <c r="K244" s="59">
        <f t="shared" si="36"/>
        <v>391033.69146899995</v>
      </c>
      <c r="L244" s="59">
        <f t="shared" si="36"/>
        <v>434223.30354119994</v>
      </c>
      <c r="M244" s="59">
        <f t="shared" si="36"/>
        <v>488083.79391839996</v>
      </c>
      <c r="N244" s="59">
        <f t="shared" si="36"/>
        <v>520361.88303167996</v>
      </c>
      <c r="O244" s="37">
        <f>$O$220*(O54+O66)</f>
        <v>5441941.516970376</v>
      </c>
      <c r="P244" s="85">
        <f t="shared" si="33"/>
        <v>0</v>
      </c>
    </row>
    <row r="245" spans="1:15" ht="11.25">
      <c r="A245" s="18" t="s">
        <v>298</v>
      </c>
      <c r="B245" s="2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37"/>
    </row>
    <row r="246" spans="1:16" ht="11.25">
      <c r="A246" s="17" t="s">
        <v>229</v>
      </c>
      <c r="B246" s="24"/>
      <c r="C246" s="59">
        <f aca="true" t="shared" si="37" ref="C246:N246">$O$228*$O$222*(C82+C84+C86)</f>
        <v>152105.27414548304</v>
      </c>
      <c r="D246" s="59">
        <f t="shared" si="37"/>
        <v>137396.06090168786</v>
      </c>
      <c r="E246" s="59">
        <f t="shared" si="37"/>
        <v>135313.45682830483</v>
      </c>
      <c r="F246" s="59">
        <f t="shared" si="37"/>
        <v>121903.77552819462</v>
      </c>
      <c r="G246" s="59">
        <f t="shared" si="37"/>
        <v>124008.75866881169</v>
      </c>
      <c r="H246" s="59">
        <f t="shared" si="37"/>
        <v>153621.59469309048</v>
      </c>
      <c r="I246" s="59">
        <f t="shared" si="37"/>
        <v>189007.78293897375</v>
      </c>
      <c r="J246" s="59">
        <f t="shared" si="37"/>
        <v>192611.28586574475</v>
      </c>
      <c r="K246" s="59">
        <f t="shared" si="37"/>
        <v>216089.1425511244</v>
      </c>
      <c r="L246" s="59">
        <f t="shared" si="37"/>
        <v>235853.6468842788</v>
      </c>
      <c r="M246" s="59">
        <f t="shared" si="37"/>
        <v>239214.2492777868</v>
      </c>
      <c r="N246" s="59">
        <f t="shared" si="37"/>
        <v>203397.87898101012</v>
      </c>
      <c r="O246" s="37">
        <f>$O$228*$O$222*(O82+O84+O86)</f>
        <v>2100522.907264491</v>
      </c>
      <c r="P246" s="85">
        <f t="shared" si="33"/>
        <v>0</v>
      </c>
    </row>
    <row r="247" spans="1:16" ht="11.25">
      <c r="A247" s="17" t="s">
        <v>228</v>
      </c>
      <c r="B247" s="25"/>
      <c r="C247" s="59">
        <f aca="true" t="shared" si="38" ref="C247:N247">$O$228*$O$223*(C82+C84+C86)</f>
        <v>741079.068044904</v>
      </c>
      <c r="D247" s="59">
        <f t="shared" si="38"/>
        <v>669413.6369569631</v>
      </c>
      <c r="E247" s="59">
        <f t="shared" si="38"/>
        <v>659266.8863299398</v>
      </c>
      <c r="F247" s="59">
        <f t="shared" si="38"/>
        <v>593932.964304594</v>
      </c>
      <c r="G247" s="59">
        <f t="shared" si="38"/>
        <v>604188.7490093813</v>
      </c>
      <c r="H247" s="59">
        <f t="shared" si="38"/>
        <v>748466.802787116</v>
      </c>
      <c r="I247" s="59">
        <f t="shared" si="38"/>
        <v>920873.4701709074</v>
      </c>
      <c r="J247" s="59">
        <f t="shared" si="38"/>
        <v>938430.2617132857</v>
      </c>
      <c r="K247" s="59">
        <f t="shared" si="38"/>
        <v>1052817.8018550663</v>
      </c>
      <c r="L247" s="59">
        <f t="shared" si="38"/>
        <v>1149113.3480408886</v>
      </c>
      <c r="M247" s="59">
        <f t="shared" si="38"/>
        <v>1165486.6927775631</v>
      </c>
      <c r="N247" s="59">
        <f t="shared" si="38"/>
        <v>990984.1157341184</v>
      </c>
      <c r="O247" s="37">
        <f>$O$228*$O$223*(O82+O84+O86)</f>
        <v>10234053.797724726</v>
      </c>
      <c r="P247" s="85">
        <f t="shared" si="33"/>
        <v>0</v>
      </c>
    </row>
    <row r="248" spans="1:16" ht="11.25">
      <c r="A248" s="17" t="s">
        <v>62</v>
      </c>
      <c r="B248" s="25"/>
      <c r="C248" s="59">
        <f aca="true" t="shared" si="39" ref="C248:N248">$O$229*(C82+C84+C86)</f>
        <v>1039068.1478096134</v>
      </c>
      <c r="D248" s="59">
        <f t="shared" si="39"/>
        <v>938585.9321413491</v>
      </c>
      <c r="E248" s="59">
        <f t="shared" si="39"/>
        <v>924359.1568417555</v>
      </c>
      <c r="F248" s="59">
        <f t="shared" si="39"/>
        <v>832754.3601672117</v>
      </c>
      <c r="G248" s="59">
        <f t="shared" si="39"/>
        <v>847134.0123218072</v>
      </c>
      <c r="H248" s="59">
        <f t="shared" si="39"/>
        <v>1049426.5025197936</v>
      </c>
      <c r="I248" s="59">
        <f t="shared" si="39"/>
        <v>1291158.166890119</v>
      </c>
      <c r="J248" s="59">
        <f t="shared" si="39"/>
        <v>1315774.5724209698</v>
      </c>
      <c r="K248" s="59">
        <f t="shared" si="39"/>
        <v>1476157.5255938098</v>
      </c>
      <c r="L248" s="59">
        <f t="shared" si="39"/>
        <v>1611173.665074833</v>
      </c>
      <c r="M248" s="59">
        <f t="shared" si="39"/>
        <v>1634130.7579446505</v>
      </c>
      <c r="N248" s="59">
        <f t="shared" si="39"/>
        <v>1389460.4152848714</v>
      </c>
      <c r="O248" s="37">
        <f>$O$229*(O82+O84+O86)</f>
        <v>14349183.215010783</v>
      </c>
      <c r="P248" s="85">
        <f t="shared" si="33"/>
        <v>0</v>
      </c>
    </row>
    <row r="249" spans="1:15" ht="11.25">
      <c r="A249" s="18" t="s">
        <v>299</v>
      </c>
      <c r="B249" s="2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37"/>
    </row>
    <row r="250" spans="1:16" ht="11.25">
      <c r="A250" s="17" t="s">
        <v>229</v>
      </c>
      <c r="B250" s="24"/>
      <c r="C250" s="59">
        <f aca="true" t="shared" si="40" ref="C250:N250">$O$222*C88</f>
        <v>342483.47686194995</v>
      </c>
      <c r="D250" s="59">
        <f t="shared" si="40"/>
        <v>384299.383621</v>
      </c>
      <c r="E250" s="59">
        <f t="shared" si="40"/>
        <v>373367.434294</v>
      </c>
      <c r="F250" s="59">
        <f t="shared" si="40"/>
        <v>384299.383621</v>
      </c>
      <c r="G250" s="59">
        <f t="shared" si="40"/>
        <v>373367.434294</v>
      </c>
      <c r="H250" s="59">
        <f t="shared" si="40"/>
        <v>384299.383621</v>
      </c>
      <c r="I250" s="59">
        <f t="shared" si="40"/>
        <v>0</v>
      </c>
      <c r="J250" s="59">
        <f t="shared" si="40"/>
        <v>0</v>
      </c>
      <c r="K250" s="59">
        <f t="shared" si="40"/>
        <v>0</v>
      </c>
      <c r="L250" s="59">
        <f t="shared" si="40"/>
        <v>0</v>
      </c>
      <c r="M250" s="59">
        <f t="shared" si="40"/>
        <v>0</v>
      </c>
      <c r="N250" s="59">
        <f t="shared" si="40"/>
        <v>0</v>
      </c>
      <c r="O250" s="37">
        <f>$O$222*O88</f>
        <v>2242116.49631295</v>
      </c>
      <c r="P250" s="85">
        <f t="shared" si="33"/>
        <v>0</v>
      </c>
    </row>
    <row r="251" spans="1:16" ht="11.25">
      <c r="A251" s="17" t="s">
        <v>228</v>
      </c>
      <c r="B251" s="25"/>
      <c r="C251" s="59">
        <f aca="true" t="shared" si="41" ref="C251:N251">$O$223*C88</f>
        <v>1668629.4231380501</v>
      </c>
      <c r="D251" s="59">
        <f t="shared" si="41"/>
        <v>1872362.6163790002</v>
      </c>
      <c r="E251" s="59">
        <f t="shared" si="41"/>
        <v>1819100.5657060002</v>
      </c>
      <c r="F251" s="59">
        <f t="shared" si="41"/>
        <v>1872362.6163790002</v>
      </c>
      <c r="G251" s="59">
        <f t="shared" si="41"/>
        <v>1819100.5657060002</v>
      </c>
      <c r="H251" s="59">
        <f t="shared" si="41"/>
        <v>1872362.6163790002</v>
      </c>
      <c r="I251" s="59">
        <f t="shared" si="41"/>
        <v>0</v>
      </c>
      <c r="J251" s="59">
        <f t="shared" si="41"/>
        <v>0</v>
      </c>
      <c r="K251" s="59">
        <f t="shared" si="41"/>
        <v>0</v>
      </c>
      <c r="L251" s="59">
        <f t="shared" si="41"/>
        <v>0</v>
      </c>
      <c r="M251" s="59">
        <f t="shared" si="41"/>
        <v>0</v>
      </c>
      <c r="N251" s="59">
        <f t="shared" si="41"/>
        <v>0</v>
      </c>
      <c r="O251" s="37">
        <f>$O$223*O88</f>
        <v>10923918.40368705</v>
      </c>
      <c r="P251" s="85">
        <f t="shared" si="33"/>
        <v>0</v>
      </c>
    </row>
    <row r="252" spans="1:15" ht="11.25">
      <c r="A252" s="18" t="s">
        <v>300</v>
      </c>
      <c r="B252" s="2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37"/>
    </row>
    <row r="253" spans="1:16" ht="11.25">
      <c r="A253" s="17" t="s">
        <v>230</v>
      </c>
      <c r="B253" s="24"/>
      <c r="C253" s="59">
        <f>$O$231*$O$225*(C83+C85+C87)</f>
        <v>359679.9871521919</v>
      </c>
      <c r="D253" s="193">
        <f>$O$231*$O$225*(D83+D85+D87)</f>
        <v>311045.23611042707</v>
      </c>
      <c r="E253" s="59">
        <f aca="true" t="shared" si="42" ref="E253:N253">$O$231*$O$225*(E83+E85+E87)</f>
        <v>284391.0853869357</v>
      </c>
      <c r="F253" s="59">
        <f t="shared" si="42"/>
        <v>272067.695698757</v>
      </c>
      <c r="G253" s="59">
        <f t="shared" si="42"/>
        <v>249746.7961797044</v>
      </c>
      <c r="H253" s="59">
        <f t="shared" si="42"/>
        <v>241230.48184326536</v>
      </c>
      <c r="I253" s="59">
        <f t="shared" si="42"/>
        <v>219342.4685393019</v>
      </c>
      <c r="J253" s="59">
        <f t="shared" si="42"/>
        <v>213897.18480636866</v>
      </c>
      <c r="K253" s="59">
        <f t="shared" si="42"/>
        <v>239596.15662684277</v>
      </c>
      <c r="L253" s="59">
        <f t="shared" si="42"/>
        <v>270895.0220953229</v>
      </c>
      <c r="M253" s="59">
        <f t="shared" si="42"/>
        <v>348875.6456176933</v>
      </c>
      <c r="N253" s="59">
        <f t="shared" si="42"/>
        <v>369999.1672980863</v>
      </c>
      <c r="O253" s="37">
        <f>$O$231*$O$225*(O83+O85+O87)</f>
        <v>3380766.9273548974</v>
      </c>
      <c r="P253" s="85">
        <f t="shared" si="33"/>
        <v>0</v>
      </c>
    </row>
    <row r="254" spans="1:16" ht="11.25">
      <c r="A254" s="17" t="s">
        <v>228</v>
      </c>
      <c r="B254" s="25"/>
      <c r="C254" s="59">
        <f aca="true" t="shared" si="43" ref="C254:N254">$O$231*$O$226*(C83+C85+C87)</f>
        <v>154148.565922368</v>
      </c>
      <c r="D254" s="59">
        <f t="shared" si="43"/>
        <v>133305.10119018305</v>
      </c>
      <c r="E254" s="59">
        <f t="shared" si="43"/>
        <v>121881.89373725819</v>
      </c>
      <c r="F254" s="59">
        <f t="shared" si="43"/>
        <v>116600.44101375304</v>
      </c>
      <c r="G254" s="59">
        <f t="shared" si="43"/>
        <v>107034.34121987333</v>
      </c>
      <c r="H254" s="59">
        <f t="shared" si="43"/>
        <v>103384.49221854232</v>
      </c>
      <c r="I254" s="59">
        <f t="shared" si="43"/>
        <v>94003.91508827226</v>
      </c>
      <c r="J254" s="59">
        <f t="shared" si="43"/>
        <v>91670.2220598723</v>
      </c>
      <c r="K254" s="59">
        <f t="shared" si="43"/>
        <v>102684.06712578978</v>
      </c>
      <c r="L254" s="59">
        <f t="shared" si="43"/>
        <v>116097.86661228127</v>
      </c>
      <c r="M254" s="59">
        <f t="shared" si="43"/>
        <v>149518.1338361543</v>
      </c>
      <c r="N254" s="59">
        <f t="shared" si="43"/>
        <v>158571.07169917985</v>
      </c>
      <c r="O254" s="37">
        <f>$O$231*$O$226*(O83+O85+O87)</f>
        <v>1448900.1117235278</v>
      </c>
      <c r="P254" s="85">
        <f t="shared" si="33"/>
        <v>0</v>
      </c>
    </row>
    <row r="255" spans="1:16" ht="11.25">
      <c r="A255" s="17" t="s">
        <v>62</v>
      </c>
      <c r="B255" s="25"/>
      <c r="C255" s="59">
        <f aca="true" t="shared" si="44" ref="C255:N255">$O$232*(C83+C85+C87)</f>
        <v>254036.64692544015</v>
      </c>
      <c r="D255" s="59">
        <f t="shared" si="44"/>
        <v>219686.64269938986</v>
      </c>
      <c r="E255" s="59">
        <f t="shared" si="44"/>
        <v>200861.2108758062</v>
      </c>
      <c r="F255" s="59">
        <f t="shared" si="44"/>
        <v>192157.38328749</v>
      </c>
      <c r="G255" s="59">
        <f t="shared" si="44"/>
        <v>176392.46260042238</v>
      </c>
      <c r="H255" s="59">
        <f t="shared" si="44"/>
        <v>170377.51593819234</v>
      </c>
      <c r="I255" s="59">
        <f t="shared" si="44"/>
        <v>154918.3363724259</v>
      </c>
      <c r="J255" s="59">
        <f t="shared" si="44"/>
        <v>151072.41313375905</v>
      </c>
      <c r="K255" s="59">
        <f t="shared" si="44"/>
        <v>169223.2162473674</v>
      </c>
      <c r="L255" s="59">
        <f t="shared" si="44"/>
        <v>191329.14129239586</v>
      </c>
      <c r="M255" s="59">
        <f t="shared" si="44"/>
        <v>246405.70054615237</v>
      </c>
      <c r="N255" s="59">
        <f t="shared" si="44"/>
        <v>261324.93100273397</v>
      </c>
      <c r="O255" s="37">
        <f>$O$232*(O83+O85+O87)</f>
        <v>2387785.6009215754</v>
      </c>
      <c r="P255" s="85">
        <f t="shared" si="33"/>
        <v>0</v>
      </c>
    </row>
    <row r="256" spans="1:15" ht="11.25">
      <c r="A256" s="18" t="s">
        <v>313</v>
      </c>
      <c r="B256" s="2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37"/>
    </row>
    <row r="257" spans="1:16" ht="11.25">
      <c r="A257" s="17" t="s">
        <v>230</v>
      </c>
      <c r="B257" s="24"/>
      <c r="C257" s="59">
        <f>$O$225*C103</f>
        <v>1621186.3499999999</v>
      </c>
      <c r="D257" s="193">
        <f aca="true" t="shared" si="45" ref="D257:O257">$O$225*D103</f>
        <v>1622837.44</v>
      </c>
      <c r="E257" s="59">
        <f t="shared" si="45"/>
        <v>1598465.8549999997</v>
      </c>
      <c r="F257" s="59">
        <f t="shared" si="45"/>
        <v>1349431.748</v>
      </c>
      <c r="G257" s="59">
        <f t="shared" si="45"/>
        <v>1589229.9919999999</v>
      </c>
      <c r="H257" s="59">
        <f t="shared" si="45"/>
        <v>1618194.592</v>
      </c>
      <c r="I257" s="59">
        <f t="shared" si="45"/>
        <v>1650219.9</v>
      </c>
      <c r="J257" s="59">
        <f t="shared" si="45"/>
        <v>1596261.45</v>
      </c>
      <c r="K257" s="59">
        <f t="shared" si="45"/>
        <v>1620330.67</v>
      </c>
      <c r="L257" s="59">
        <f t="shared" si="45"/>
        <v>947965.0179999999</v>
      </c>
      <c r="M257" s="59">
        <f t="shared" si="45"/>
        <v>1385098.176</v>
      </c>
      <c r="N257" s="59">
        <f t="shared" si="45"/>
        <v>1621257.491</v>
      </c>
      <c r="O257" s="37">
        <f t="shared" si="45"/>
        <v>18220478.681999996</v>
      </c>
      <c r="P257" s="85">
        <f t="shared" si="33"/>
        <v>0</v>
      </c>
    </row>
    <row r="258" spans="1:16" ht="11.25">
      <c r="A258" s="17" t="s">
        <v>228</v>
      </c>
      <c r="B258" s="25"/>
      <c r="C258" s="59">
        <f>$O$226*C103</f>
        <v>694794.1500000001</v>
      </c>
      <c r="D258" s="59">
        <f aca="true" t="shared" si="46" ref="D258:O258">$O$226*D103</f>
        <v>695501.7600000001</v>
      </c>
      <c r="E258" s="59">
        <f t="shared" si="46"/>
        <v>685056.795</v>
      </c>
      <c r="F258" s="59">
        <f t="shared" si="46"/>
        <v>578327.8920000001</v>
      </c>
      <c r="G258" s="59">
        <f t="shared" si="46"/>
        <v>681098.5680000001</v>
      </c>
      <c r="H258" s="59">
        <f t="shared" si="46"/>
        <v>693511.9680000001</v>
      </c>
      <c r="I258" s="59">
        <f t="shared" si="46"/>
        <v>707237.1000000001</v>
      </c>
      <c r="J258" s="59">
        <f t="shared" si="46"/>
        <v>684112.05</v>
      </c>
      <c r="K258" s="59">
        <f t="shared" si="46"/>
        <v>694427.4300000002</v>
      </c>
      <c r="L258" s="59">
        <f t="shared" si="46"/>
        <v>406270.72200000007</v>
      </c>
      <c r="M258" s="59">
        <f t="shared" si="46"/>
        <v>593613.5040000002</v>
      </c>
      <c r="N258" s="59">
        <f t="shared" si="46"/>
        <v>694824.6390000001</v>
      </c>
      <c r="O258" s="37">
        <f t="shared" si="46"/>
        <v>7808776.578000001</v>
      </c>
      <c r="P258" s="85">
        <f t="shared" si="33"/>
        <v>0</v>
      </c>
    </row>
    <row r="259" spans="1:17" ht="11.25">
      <c r="A259" s="17"/>
      <c r="B259" s="2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37"/>
      <c r="Q259" s="86"/>
    </row>
    <row r="260" spans="1:16" ht="11.25">
      <c r="A260" s="26" t="s">
        <v>231</v>
      </c>
      <c r="B260" s="28"/>
      <c r="C260" s="77">
        <f aca="true" t="shared" si="47" ref="C260:N260">SUM(C46:C50)+C53+SUM(C55:C56)+SUM(C58:C65)+SUM(C67:C68)+SUM(C71:C74)+C123+SUM(C126:C127)+C129+SUM(C131:C135)+C147+C157</f>
        <v>39363180.535864785</v>
      </c>
      <c r="D260" s="77">
        <f t="shared" si="47"/>
        <v>36764472.418853365</v>
      </c>
      <c r="E260" s="77">
        <f t="shared" si="47"/>
        <v>25799736.61749173</v>
      </c>
      <c r="F260" s="77">
        <f t="shared" si="47"/>
        <v>26137549.87657741</v>
      </c>
      <c r="G260" s="77">
        <f t="shared" si="47"/>
        <v>21853484.542635664</v>
      </c>
      <c r="H260" s="77">
        <f t="shared" si="47"/>
        <v>28776585.768780358</v>
      </c>
      <c r="I260" s="77">
        <f t="shared" si="47"/>
        <v>36717428.180082254</v>
      </c>
      <c r="J260" s="77">
        <f t="shared" si="47"/>
        <v>37460523.9342619</v>
      </c>
      <c r="K260" s="77">
        <f t="shared" si="47"/>
        <v>43539001.53992827</v>
      </c>
      <c r="L260" s="77">
        <f t="shared" si="47"/>
        <v>48727043.175726205</v>
      </c>
      <c r="M260" s="77">
        <f t="shared" si="47"/>
        <v>42008524.856726214</v>
      </c>
      <c r="N260" s="77">
        <f t="shared" si="47"/>
        <v>38114599.66776085</v>
      </c>
      <c r="O260" s="20">
        <f>SUM(O46:O50)+O53+SUM(O55:O56)+SUM(O58:O65)+SUM(O67:O68)+SUM(O71:O74)+O123+SUM(O126:O127)+O129+SUM(O131:O135)+O147+O157</f>
        <v>425262131.114689</v>
      </c>
      <c r="P260" s="85">
        <f t="shared" si="33"/>
        <v>0</v>
      </c>
    </row>
    <row r="261" ht="11.25">
      <c r="A261" s="10"/>
    </row>
    <row r="262" spans="3:18" ht="11.25">
      <c r="C262" s="269">
        <f>C168/$O168</f>
        <v>0.08722962445652924</v>
      </c>
      <c r="D262" s="269">
        <f aca="true" t="shared" si="48" ref="D262:N262">D168/$O168</f>
        <v>0.09381139237060908</v>
      </c>
      <c r="E262" s="269">
        <f t="shared" si="48"/>
        <v>0.08973210102114292</v>
      </c>
      <c r="F262" s="269">
        <f t="shared" si="48"/>
        <v>0.09270963893646306</v>
      </c>
      <c r="G262" s="269">
        <f t="shared" si="48"/>
        <v>0.09135659456310131</v>
      </c>
      <c r="H262" s="269">
        <f t="shared" si="48"/>
        <v>0.09544894131142223</v>
      </c>
      <c r="I262" s="269">
        <f t="shared" si="48"/>
        <v>0.08447904953345091</v>
      </c>
      <c r="J262" s="269">
        <f t="shared" si="48"/>
        <v>0.07987730997530203</v>
      </c>
      <c r="K262" s="269">
        <f t="shared" si="48"/>
        <v>0.0878849647455616</v>
      </c>
      <c r="L262" s="269">
        <f t="shared" si="48"/>
        <v>0.049003936552332275</v>
      </c>
      <c r="M262" s="269">
        <f t="shared" si="48"/>
        <v>0.07469761741203386</v>
      </c>
      <c r="N262" s="269">
        <f t="shared" si="48"/>
        <v>0.07376882912205146</v>
      </c>
      <c r="Q262" s="86"/>
      <c r="R262" s="10"/>
    </row>
    <row r="263" spans="1:18" ht="11.25">
      <c r="A263" s="5" t="s">
        <v>348</v>
      </c>
      <c r="C263" s="269">
        <f>C264/$O264</f>
        <v>0.10197076470255315</v>
      </c>
      <c r="D263" s="269">
        <f aca="true" t="shared" si="49" ref="D263:N263">D264/$O264</f>
        <v>0.09772158748061859</v>
      </c>
      <c r="E263" s="269">
        <f t="shared" si="49"/>
        <v>0.05498094128042287</v>
      </c>
      <c r="F263" s="269">
        <f t="shared" si="49"/>
        <v>0.1062378585235887</v>
      </c>
      <c r="G263" s="269">
        <f t="shared" si="49"/>
        <v>0.10229891330735315</v>
      </c>
      <c r="H263" s="269">
        <f t="shared" si="49"/>
        <v>0.07837414177256895</v>
      </c>
      <c r="I263" s="269">
        <f t="shared" si="49"/>
        <v>0.0457252281920433</v>
      </c>
      <c r="J263" s="269">
        <f t="shared" si="49"/>
        <v>0.08299259045784753</v>
      </c>
      <c r="K263" s="269">
        <f t="shared" si="49"/>
        <v>0.06986353440724295</v>
      </c>
      <c r="L263" s="269">
        <f t="shared" si="49"/>
        <v>0.07831801250727245</v>
      </c>
      <c r="M263" s="269">
        <f t="shared" si="49"/>
        <v>0.11559281467680861</v>
      </c>
      <c r="N263" s="269">
        <f t="shared" si="49"/>
        <v>0.06592361269167973</v>
      </c>
      <c r="Q263" s="86"/>
      <c r="R263" s="10"/>
    </row>
    <row r="264" spans="1:18" ht="11.25">
      <c r="A264" s="15" t="s">
        <v>44</v>
      </c>
      <c r="B264" s="30"/>
      <c r="C264" s="165">
        <v>-1138.5882979586177</v>
      </c>
      <c r="D264" s="165">
        <v>-1091.1427043616732</v>
      </c>
      <c r="E264" s="165">
        <v>-613.9078836492434</v>
      </c>
      <c r="F264" s="165">
        <v>-1186.2339452683605</v>
      </c>
      <c r="G264" s="165">
        <v>-1142.2523497337181</v>
      </c>
      <c r="H264" s="165">
        <v>-875.1124005502568</v>
      </c>
      <c r="I264" s="165">
        <v>-510.5601580297303</v>
      </c>
      <c r="J264" s="165">
        <v>-926.6812167998901</v>
      </c>
      <c r="K264" s="165">
        <v>-780.0843993094464</v>
      </c>
      <c r="L264" s="165">
        <v>-874.4856706750222</v>
      </c>
      <c r="M264" s="165">
        <v>-1290.6898021508916</v>
      </c>
      <c r="N264" s="165">
        <v>-736.0919003486046</v>
      </c>
      <c r="O264" s="126">
        <f aca="true" t="shared" si="50" ref="O264:O274">SUM(C264:N264)</f>
        <v>-11165.830728835455</v>
      </c>
      <c r="P264" s="85">
        <f>N$276*O264-N264</f>
        <v>0</v>
      </c>
      <c r="Q264" s="86"/>
      <c r="R264" s="10"/>
    </row>
    <row r="265" spans="1:18" ht="11.25">
      <c r="A265" s="18" t="s">
        <v>45</v>
      </c>
      <c r="B265" s="29"/>
      <c r="C265" s="62">
        <v>-12117.00951576746</v>
      </c>
      <c r="D265" s="62">
        <v>-11612.087139412328</v>
      </c>
      <c r="E265" s="62">
        <v>-6533.290111376948</v>
      </c>
      <c r="F265" s="62">
        <v>-12624.060890590246</v>
      </c>
      <c r="G265" s="62">
        <v>-12156.00284663583</v>
      </c>
      <c r="H265" s="62">
        <v>-9313.063645432761</v>
      </c>
      <c r="I265" s="62">
        <v>-5433.449741499828</v>
      </c>
      <c r="J265" s="62">
        <v>-9861.865910776596</v>
      </c>
      <c r="K265" s="62">
        <v>-8301.762899268662</v>
      </c>
      <c r="L265" s="62">
        <v>-9306.393901965655</v>
      </c>
      <c r="M265" s="62">
        <v>-13735.694142128616</v>
      </c>
      <c r="N265" s="62">
        <v>-7833.588819588911</v>
      </c>
      <c r="O265" s="135">
        <f>SUM(C265:N265)</f>
        <v>-118828.26956444386</v>
      </c>
      <c r="P265" s="85">
        <f aca="true" t="shared" si="51" ref="P265:P274">N$276*O265-N265</f>
        <v>0</v>
      </c>
      <c r="Q265" s="86"/>
      <c r="R265" s="10"/>
    </row>
    <row r="266" spans="1:18" ht="11.25">
      <c r="A266" s="18" t="s">
        <v>48</v>
      </c>
      <c r="B266" s="29"/>
      <c r="C266" s="62">
        <v>-7664.482922367706</v>
      </c>
      <c r="D266" s="62">
        <v>-7345.099750665201</v>
      </c>
      <c r="E266" s="62">
        <v>-4132.561786005236</v>
      </c>
      <c r="F266" s="62">
        <v>-7985.2127689552835</v>
      </c>
      <c r="G266" s="62">
        <v>-7689.147730803976</v>
      </c>
      <c r="H266" s="62">
        <v>-5890.8773796421265</v>
      </c>
      <c r="I266" s="62">
        <v>-3436.869691245018</v>
      </c>
      <c r="J266" s="62">
        <v>-6238.016299109924</v>
      </c>
      <c r="K266" s="62">
        <v>-5251.190063372695</v>
      </c>
      <c r="L266" s="62">
        <v>-5886.658505766219</v>
      </c>
      <c r="M266" s="62">
        <v>-8688.364323079673</v>
      </c>
      <c r="N266" s="62">
        <v>-4955.051628082096</v>
      </c>
      <c r="O266" s="135">
        <f t="shared" si="50"/>
        <v>-75163.53284909515</v>
      </c>
      <c r="P266" s="85">
        <f t="shared" si="51"/>
        <v>0</v>
      </c>
      <c r="Q266" s="86"/>
      <c r="R266" s="10"/>
    </row>
    <row r="267" spans="1:18" ht="11.25">
      <c r="A267" s="18" t="s">
        <v>54</v>
      </c>
      <c r="B267" s="29"/>
      <c r="C267" s="62">
        <v>-15725.888868160515</v>
      </c>
      <c r="D267" s="62">
        <v>-15070.582526502878</v>
      </c>
      <c r="E267" s="62">
        <v>-8479.137868239803</v>
      </c>
      <c r="F267" s="62">
        <v>-16383.958300270398</v>
      </c>
      <c r="G267" s="62">
        <v>-15776.495809339976</v>
      </c>
      <c r="H267" s="62">
        <v>-12086.827506374644</v>
      </c>
      <c r="I267" s="62">
        <v>-7051.725650159304</v>
      </c>
      <c r="J267" s="62">
        <v>-12799.082739331376</v>
      </c>
      <c r="K267" s="62">
        <v>-10774.32518261484</v>
      </c>
      <c r="L267" s="62">
        <v>-12078.17127445485</v>
      </c>
      <c r="M267" s="62">
        <v>-17826.675742482217</v>
      </c>
      <c r="N267" s="62">
        <v>-10166.712096364758</v>
      </c>
      <c r="O267" s="135">
        <f t="shared" si="50"/>
        <v>-154219.58356429558</v>
      </c>
      <c r="P267" s="85">
        <f t="shared" si="51"/>
        <v>0</v>
      </c>
      <c r="Q267" s="86"/>
      <c r="R267" s="10"/>
    </row>
    <row r="268" spans="1:18" ht="11.25">
      <c r="A268" s="18" t="s">
        <v>53</v>
      </c>
      <c r="B268" s="29"/>
      <c r="C268" s="62">
        <v>-10018.219127796585</v>
      </c>
      <c r="D268" s="62">
        <v>-9600.754488334915</v>
      </c>
      <c r="E268" s="62">
        <v>-5401.657222111645</v>
      </c>
      <c r="F268" s="62">
        <v>-10437.444001344393</v>
      </c>
      <c r="G268" s="62">
        <v>-10050.4584136248</v>
      </c>
      <c r="H268" s="62">
        <v>-7699.945455159782</v>
      </c>
      <c r="I268" s="62">
        <v>-4492.320490413291</v>
      </c>
      <c r="J268" s="62">
        <v>-8153.689536559678</v>
      </c>
      <c r="K268" s="62">
        <v>-6863.812375789626</v>
      </c>
      <c r="L268" s="62">
        <v>-7694.430979703383</v>
      </c>
      <c r="M268" s="62">
        <v>-11356.530966586495</v>
      </c>
      <c r="N268" s="62">
        <v>-6476.730850923035</v>
      </c>
      <c r="O268" s="135">
        <f t="shared" si="50"/>
        <v>-98245.99390834762</v>
      </c>
      <c r="P268" s="85">
        <f t="shared" si="51"/>
        <v>0</v>
      </c>
      <c r="Q268" s="86"/>
      <c r="R268" s="10"/>
    </row>
    <row r="269" spans="1:18" ht="11.25">
      <c r="A269" s="18" t="s">
        <v>55</v>
      </c>
      <c r="B269" s="29"/>
      <c r="C269" s="62">
        <v>-27413.443005685207</v>
      </c>
      <c r="D269" s="62">
        <v>-26271.10992684303</v>
      </c>
      <c r="E269" s="62">
        <v>-14780.872778450977</v>
      </c>
      <c r="F269" s="62">
        <v>-28560.592716723328</v>
      </c>
      <c r="G269" s="62">
        <v>-27501.66126217588</v>
      </c>
      <c r="H269" s="62">
        <v>-21069.814224390306</v>
      </c>
      <c r="I269" s="62">
        <v>-12292.601125635616</v>
      </c>
      <c r="J269" s="62">
        <v>-22311.42087682523</v>
      </c>
      <c r="K269" s="62">
        <v>-18781.854036647517</v>
      </c>
      <c r="L269" s="62">
        <v>-21054.72464043313</v>
      </c>
      <c r="M269" s="62">
        <v>-31075.54450780818</v>
      </c>
      <c r="N269" s="62">
        <v>-17722.66006363469</v>
      </c>
      <c r="O269" s="135">
        <f t="shared" si="50"/>
        <v>-268836.29916525306</v>
      </c>
      <c r="P269" s="85">
        <f t="shared" si="51"/>
        <v>0</v>
      </c>
      <c r="Q269" s="86"/>
      <c r="R269" s="10"/>
    </row>
    <row r="270" spans="1:18" ht="11.25">
      <c r="A270" s="18" t="s">
        <v>58</v>
      </c>
      <c r="B270" s="29"/>
      <c r="C270" s="62">
        <v>-5267.648439219297</v>
      </c>
      <c r="D270" s="62">
        <v>-5048.142663947521</v>
      </c>
      <c r="E270" s="62">
        <v>-2840.2284749697073</v>
      </c>
      <c r="F270" s="62">
        <v>-5488.079757665784</v>
      </c>
      <c r="G270" s="62">
        <v>-5284.600077180912</v>
      </c>
      <c r="H270" s="62">
        <v>-4048.68421637999</v>
      </c>
      <c r="I270" s="62">
        <v>-2362.0929746026736</v>
      </c>
      <c r="J270" s="62">
        <v>-4287.265971450549</v>
      </c>
      <c r="K270" s="62">
        <v>-3609.0396992917968</v>
      </c>
      <c r="L270" s="62">
        <v>-4045.7846673024083</v>
      </c>
      <c r="M270" s="62">
        <v>-5971.341997810973</v>
      </c>
      <c r="N270" s="62">
        <v>-3405.5095743959782</v>
      </c>
      <c r="O270" s="135">
        <f t="shared" si="50"/>
        <v>-51658.41851421759</v>
      </c>
      <c r="P270" s="85">
        <f t="shared" si="51"/>
        <v>0</v>
      </c>
      <c r="Q270" s="86"/>
      <c r="R270" s="10"/>
    </row>
    <row r="271" spans="1:18" ht="11.25">
      <c r="A271" s="18" t="s">
        <v>59</v>
      </c>
      <c r="B271" s="29"/>
      <c r="C271" s="62">
        <v>-4669.362504250962</v>
      </c>
      <c r="D271" s="62">
        <v>-4474.787629266998</v>
      </c>
      <c r="E271" s="62">
        <v>-2517.6426440666137</v>
      </c>
      <c r="F271" s="62">
        <v>-4864.757801600983</v>
      </c>
      <c r="G271" s="62">
        <v>-4684.388818857358</v>
      </c>
      <c r="H271" s="62">
        <v>-3588.8450965644233</v>
      </c>
      <c r="I271" s="62">
        <v>-2093.812541673527</v>
      </c>
      <c r="J271" s="62">
        <v>-3800.3293507205267</v>
      </c>
      <c r="K271" s="62">
        <v>-3199.134270760836</v>
      </c>
      <c r="L271" s="62">
        <v>-3586.27487079892</v>
      </c>
      <c r="M271" s="62">
        <v>-5293.132361879858</v>
      </c>
      <c r="N271" s="62">
        <v>-3018.7205729524644</v>
      </c>
      <c r="O271" s="135">
        <f t="shared" si="50"/>
        <v>-45791.188463393475</v>
      </c>
      <c r="P271" s="85">
        <f t="shared" si="51"/>
        <v>0</v>
      </c>
      <c r="Q271" s="86"/>
      <c r="R271" s="10"/>
    </row>
    <row r="272" spans="1:18" ht="11.25">
      <c r="A272" s="18" t="s">
        <v>46</v>
      </c>
      <c r="B272" s="29"/>
      <c r="C272" s="62">
        <v>-1722.9733225397404</v>
      </c>
      <c r="D272" s="62">
        <v>-1651.1760871508266</v>
      </c>
      <c r="E272" s="62">
        <v>-928.9985747446366</v>
      </c>
      <c r="F272" s="62">
        <v>-1795.073290014382</v>
      </c>
      <c r="G272" s="62">
        <v>-1728.5179636292553</v>
      </c>
      <c r="H272" s="62">
        <v>-1324.2673607968218</v>
      </c>
      <c r="I272" s="62">
        <v>-772.6072131727385</v>
      </c>
      <c r="J272" s="62">
        <v>-1402.3040794530516</v>
      </c>
      <c r="K272" s="62">
        <v>-1180.4658556120737</v>
      </c>
      <c r="L272" s="62">
        <v>-1323.3189592917267</v>
      </c>
      <c r="M272" s="62">
        <v>-1953.1415356781642</v>
      </c>
      <c r="N272" s="62">
        <v>-1113.894029573385</v>
      </c>
      <c r="O272" s="135">
        <f t="shared" si="50"/>
        <v>-16896.7382716568</v>
      </c>
      <c r="P272" s="85">
        <f t="shared" si="51"/>
        <v>0</v>
      </c>
      <c r="Q272" s="86"/>
      <c r="R272" s="10"/>
    </row>
    <row r="273" spans="1:18" ht="11.25">
      <c r="A273" s="18" t="s">
        <v>47</v>
      </c>
      <c r="B273" s="29"/>
      <c r="C273" s="62">
        <v>-2496.3519295387123</v>
      </c>
      <c r="D273" s="62">
        <v>-2392.327586994357</v>
      </c>
      <c r="E273" s="62">
        <v>-1345.9914638631885</v>
      </c>
      <c r="F273" s="62">
        <v>-2600.814889336425</v>
      </c>
      <c r="G273" s="62">
        <v>-2504.3853536790275</v>
      </c>
      <c r="H273" s="62">
        <v>-1918.6816987260897</v>
      </c>
      <c r="I273" s="62">
        <v>-1119.4018399172326</v>
      </c>
      <c r="J273" s="62">
        <v>-2031.7461963848198</v>
      </c>
      <c r="K273" s="62">
        <v>-1710.3330491896213</v>
      </c>
      <c r="L273" s="62">
        <v>-1917.3075950784885</v>
      </c>
      <c r="M273" s="62">
        <v>-2829.834088240754</v>
      </c>
      <c r="N273" s="62">
        <v>-1613.8796077981845</v>
      </c>
      <c r="O273" s="135">
        <f t="shared" si="50"/>
        <v>-24481.055298746902</v>
      </c>
      <c r="P273" s="85">
        <f t="shared" si="51"/>
        <v>0</v>
      </c>
      <c r="Q273" s="86"/>
      <c r="R273" s="10"/>
    </row>
    <row r="274" spans="1:18" ht="11.25">
      <c r="A274" s="18" t="s">
        <v>51</v>
      </c>
      <c r="B274" s="29"/>
      <c r="C274" s="62">
        <v>-1372.9134785125104</v>
      </c>
      <c r="D274" s="62">
        <v>-1315.7034272041847</v>
      </c>
      <c r="E274" s="62">
        <v>-740.2521258459042</v>
      </c>
      <c r="F274" s="62">
        <v>-1430.364755239383</v>
      </c>
      <c r="G274" s="62">
        <v>-1377.3316040781974</v>
      </c>
      <c r="H274" s="62">
        <v>-1055.2133831719336</v>
      </c>
      <c r="I274" s="62">
        <v>-615.6351016493325</v>
      </c>
      <c r="J274" s="62">
        <v>-1117.3952297858443</v>
      </c>
      <c r="K274" s="62">
        <v>-940.6283097318463</v>
      </c>
      <c r="L274" s="62">
        <v>-1054.4576702468678</v>
      </c>
      <c r="M274" s="62">
        <v>-1556.317967722525</v>
      </c>
      <c r="N274" s="62">
        <v>-887.5820111838328</v>
      </c>
      <c r="O274" s="135">
        <f t="shared" si="50"/>
        <v>-13463.795064372363</v>
      </c>
      <c r="P274" s="85">
        <f t="shared" si="51"/>
        <v>0</v>
      </c>
      <c r="Q274" s="86"/>
      <c r="R274" s="10"/>
    </row>
    <row r="275" spans="1:18" ht="11.25">
      <c r="A275" s="38" t="s">
        <v>292</v>
      </c>
      <c r="B275" s="34"/>
      <c r="C275" s="78">
        <f aca="true" t="shared" si="52" ref="C275:O275">SUM(C264:C274)</f>
        <v>-89606.8814117973</v>
      </c>
      <c r="D275" s="78">
        <f t="shared" si="52"/>
        <v>-85872.9139306839</v>
      </c>
      <c r="E275" s="78">
        <f t="shared" si="52"/>
        <v>-48314.54093332389</v>
      </c>
      <c r="F275" s="78">
        <f t="shared" si="52"/>
        <v>-93356.59311700896</v>
      </c>
      <c r="G275" s="78">
        <f t="shared" si="52"/>
        <v>-89895.24222973894</v>
      </c>
      <c r="H275" s="78">
        <f t="shared" si="52"/>
        <v>-68871.33236718913</v>
      </c>
      <c r="I275" s="78">
        <f t="shared" si="52"/>
        <v>-40181.0765279983</v>
      </c>
      <c r="J275" s="78">
        <f t="shared" si="52"/>
        <v>-72929.79740719749</v>
      </c>
      <c r="K275" s="78">
        <f t="shared" si="52"/>
        <v>-61392.63014158895</v>
      </c>
      <c r="L275" s="78">
        <f t="shared" si="52"/>
        <v>-68822.00873571666</v>
      </c>
      <c r="M275" s="78">
        <f t="shared" si="52"/>
        <v>-101577.26743556836</v>
      </c>
      <c r="N275" s="78">
        <f t="shared" si="52"/>
        <v>-57930.42115484593</v>
      </c>
      <c r="O275" s="134">
        <f t="shared" si="52"/>
        <v>-878750.7053926579</v>
      </c>
      <c r="Q275" s="86"/>
      <c r="R275" s="10"/>
    </row>
    <row r="276" spans="3:18" ht="11.25">
      <c r="C276" s="269">
        <f>C275/$O275</f>
        <v>0.10197076470255312</v>
      </c>
      <c r="D276" s="269">
        <f aca="true" t="shared" si="53" ref="D276:N276">D275/$O275</f>
        <v>0.09772158748061859</v>
      </c>
      <c r="E276" s="269">
        <f t="shared" si="53"/>
        <v>0.054980941280422864</v>
      </c>
      <c r="F276" s="269">
        <f t="shared" si="53"/>
        <v>0.10623785852358869</v>
      </c>
      <c r="G276" s="269">
        <f t="shared" si="53"/>
        <v>0.10229891330735315</v>
      </c>
      <c r="H276" s="269">
        <f t="shared" si="53"/>
        <v>0.07837414177256893</v>
      </c>
      <c r="I276" s="269">
        <f t="shared" si="53"/>
        <v>0.045725228192043305</v>
      </c>
      <c r="J276" s="269">
        <f t="shared" si="53"/>
        <v>0.08299259045784753</v>
      </c>
      <c r="K276" s="269">
        <f t="shared" si="53"/>
        <v>0.06986353440724292</v>
      </c>
      <c r="L276" s="269">
        <f t="shared" si="53"/>
        <v>0.07831801250727244</v>
      </c>
      <c r="M276" s="269">
        <f t="shared" si="53"/>
        <v>0.11559281467680863</v>
      </c>
      <c r="N276" s="269">
        <f t="shared" si="53"/>
        <v>0.06592361269167972</v>
      </c>
      <c r="Q276" s="86"/>
      <c r="R276" s="10"/>
    </row>
    <row r="277" spans="3:16" ht="11.25"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84"/>
    </row>
    <row r="278" spans="1:16" ht="11.25">
      <c r="A278" s="5" t="s">
        <v>306</v>
      </c>
      <c r="C278" s="175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84"/>
    </row>
    <row r="279" spans="1:16" ht="11.25">
      <c r="A279" s="15" t="s">
        <v>44</v>
      </c>
      <c r="B279" s="30"/>
      <c r="C279" s="181">
        <f aca="true" t="shared" si="54" ref="C279:N279">C168+C264</f>
        <v>1660541.4045920414</v>
      </c>
      <c r="D279" s="125">
        <f t="shared" si="54"/>
        <v>1785968.1823656384</v>
      </c>
      <c r="E279" s="125">
        <f t="shared" si="54"/>
        <v>1708736.9911463507</v>
      </c>
      <c r="F279" s="125">
        <f t="shared" si="54"/>
        <v>1764885.2484047315</v>
      </c>
      <c r="G279" s="125">
        <f t="shared" si="54"/>
        <v>1739154.4226602663</v>
      </c>
      <c r="H279" s="125">
        <f t="shared" si="54"/>
        <v>1817378.68735945</v>
      </c>
      <c r="I279" s="125">
        <f t="shared" si="54"/>
        <v>1608772.3790119702</v>
      </c>
      <c r="J279" s="125">
        <f t="shared" si="54"/>
        <v>1520695.4591832</v>
      </c>
      <c r="K279" s="125">
        <f t="shared" si="54"/>
        <v>1673383.8077806905</v>
      </c>
      <c r="L279" s="125">
        <f t="shared" si="54"/>
        <v>932625.5889793249</v>
      </c>
      <c r="M279" s="125">
        <f t="shared" si="54"/>
        <v>1421660.940947849</v>
      </c>
      <c r="N279" s="182">
        <f t="shared" si="54"/>
        <v>1404522.5941796512</v>
      </c>
      <c r="O279" s="183">
        <f aca="true" t="shared" si="55" ref="O279:O289">SUM(C279:N279)</f>
        <v>19038325.706611164</v>
      </c>
      <c r="P279" s="85"/>
    </row>
    <row r="280" spans="1:16" ht="11.25">
      <c r="A280" s="18" t="s">
        <v>45</v>
      </c>
      <c r="B280" s="29" t="s">
        <v>223</v>
      </c>
      <c r="C280" s="176">
        <f aca="true" t="shared" si="56" ref="C280:N280">C169+C265</f>
        <v>4980229.350084232</v>
      </c>
      <c r="D280" s="129">
        <f t="shared" si="56"/>
        <v>5038850.433960587</v>
      </c>
      <c r="E280" s="129">
        <f t="shared" si="56"/>
        <v>4851465.761788623</v>
      </c>
      <c r="F280" s="129">
        <f t="shared" si="56"/>
        <v>4975230.51580941</v>
      </c>
      <c r="G280" s="129">
        <f t="shared" si="56"/>
        <v>4820025.195853364</v>
      </c>
      <c r="H280" s="129">
        <f t="shared" si="56"/>
        <v>4978081.1604545675</v>
      </c>
      <c r="I280" s="129">
        <f t="shared" si="56"/>
        <v>4977825.5329585</v>
      </c>
      <c r="J280" s="129">
        <f t="shared" si="56"/>
        <v>4655943.389189223</v>
      </c>
      <c r="K280" s="129">
        <f t="shared" si="56"/>
        <v>4980099.611200731</v>
      </c>
      <c r="L280" s="129">
        <f t="shared" si="56"/>
        <v>4732219.945598034</v>
      </c>
      <c r="M280" s="129">
        <f t="shared" si="56"/>
        <v>2515009.905957871</v>
      </c>
      <c r="N280" s="177">
        <f t="shared" si="56"/>
        <v>4717965.741680412</v>
      </c>
      <c r="O280" s="162">
        <f t="shared" si="55"/>
        <v>56222946.544535555</v>
      </c>
      <c r="P280" s="85"/>
    </row>
    <row r="281" spans="1:16" ht="11.25">
      <c r="A281" s="18" t="s">
        <v>46</v>
      </c>
      <c r="B281" s="29"/>
      <c r="C281" s="176">
        <f aca="true" t="shared" si="57" ref="C281:N281">C170+C266</f>
        <v>1249028.4279276324</v>
      </c>
      <c r="D281" s="129">
        <f t="shared" si="57"/>
        <v>1262530.0396093347</v>
      </c>
      <c r="E281" s="129">
        <f t="shared" si="57"/>
        <v>1224413.6900539948</v>
      </c>
      <c r="F281" s="129">
        <f t="shared" si="57"/>
        <v>1259059.8331510446</v>
      </c>
      <c r="G281" s="129">
        <f t="shared" si="57"/>
        <v>1220857.104109196</v>
      </c>
      <c r="H281" s="129">
        <f t="shared" si="57"/>
        <v>1262569.2152603578</v>
      </c>
      <c r="I281" s="129">
        <f t="shared" si="57"/>
        <v>1265023.222948755</v>
      </c>
      <c r="J281" s="129">
        <f t="shared" si="57"/>
        <v>1180979.34802089</v>
      </c>
      <c r="K281" s="129">
        <f t="shared" si="57"/>
        <v>1263208.9025766272</v>
      </c>
      <c r="L281" s="129">
        <f t="shared" si="57"/>
        <v>962579.2320542338</v>
      </c>
      <c r="M281" s="129">
        <f t="shared" si="57"/>
        <v>1028772.8522369203</v>
      </c>
      <c r="N281" s="177">
        <f t="shared" si="57"/>
        <v>1200920.491091918</v>
      </c>
      <c r="O281" s="162">
        <f t="shared" si="55"/>
        <v>14379942.359040905</v>
      </c>
      <c r="P281" s="85"/>
    </row>
    <row r="282" spans="1:16" ht="11.25">
      <c r="A282" s="18" t="s">
        <v>47</v>
      </c>
      <c r="B282" s="29"/>
      <c r="C282" s="176">
        <f aca="true" t="shared" si="58" ref="C282:N282">C171+C267</f>
        <v>1947724.8581318394</v>
      </c>
      <c r="D282" s="129">
        <f t="shared" si="58"/>
        <v>1953485.266873497</v>
      </c>
      <c r="E282" s="129">
        <f t="shared" si="58"/>
        <v>1888485.4303317603</v>
      </c>
      <c r="F282" s="129">
        <f t="shared" si="58"/>
        <v>1948646.3015997296</v>
      </c>
      <c r="G282" s="129">
        <f t="shared" si="58"/>
        <v>1905402.81619066</v>
      </c>
      <c r="H282" s="129">
        <f t="shared" si="58"/>
        <v>1972816.3676936254</v>
      </c>
      <c r="I282" s="129">
        <f t="shared" si="58"/>
        <v>1977851.4695498405</v>
      </c>
      <c r="J282" s="129">
        <f t="shared" si="58"/>
        <v>1844226.2180606688</v>
      </c>
      <c r="K282" s="129">
        <f t="shared" si="58"/>
        <v>1974128.870017385</v>
      </c>
      <c r="L282" s="129">
        <f t="shared" si="58"/>
        <v>1908671.012725545</v>
      </c>
      <c r="M282" s="129">
        <f t="shared" si="58"/>
        <v>1490534.2522575178</v>
      </c>
      <c r="N282" s="177">
        <f t="shared" si="58"/>
        <v>1898502.1122236352</v>
      </c>
      <c r="O282" s="162">
        <f t="shared" si="55"/>
        <v>22710474.97565571</v>
      </c>
      <c r="P282" s="85"/>
    </row>
    <row r="283" spans="1:16" ht="11.25">
      <c r="A283" s="18" t="s">
        <v>48</v>
      </c>
      <c r="B283" s="29"/>
      <c r="C283" s="176">
        <f aca="true" t="shared" si="59" ref="C283:N283">C172+C268</f>
        <v>5237475.1678722035</v>
      </c>
      <c r="D283" s="129">
        <f t="shared" si="59"/>
        <v>5318469.058611665</v>
      </c>
      <c r="E283" s="129">
        <f t="shared" si="59"/>
        <v>5102233.262577889</v>
      </c>
      <c r="F283" s="129">
        <f t="shared" si="59"/>
        <v>5230933.431098656</v>
      </c>
      <c r="G283" s="129">
        <f t="shared" si="59"/>
        <v>4892476.096986375</v>
      </c>
      <c r="H283" s="129">
        <f t="shared" si="59"/>
        <v>4551760.51694484</v>
      </c>
      <c r="I283" s="129">
        <f t="shared" si="59"/>
        <v>4236111.513399587</v>
      </c>
      <c r="J283" s="129">
        <f t="shared" si="59"/>
        <v>4733951.123463441</v>
      </c>
      <c r="K283" s="129">
        <f t="shared" si="59"/>
        <v>5129495.65972421</v>
      </c>
      <c r="L283" s="129">
        <f t="shared" si="59"/>
        <v>3241735.2532202965</v>
      </c>
      <c r="M283" s="129">
        <f t="shared" si="59"/>
        <v>4350560.563133414</v>
      </c>
      <c r="N283" s="177">
        <f t="shared" si="59"/>
        <v>4888796.465379077</v>
      </c>
      <c r="O283" s="162">
        <f t="shared" si="55"/>
        <v>56913998.112411655</v>
      </c>
      <c r="P283" s="85"/>
    </row>
    <row r="284" spans="1:16" ht="11.25">
      <c r="A284" s="18" t="s">
        <v>51</v>
      </c>
      <c r="B284" s="29"/>
      <c r="C284" s="176">
        <f aca="true" t="shared" si="60" ref="C284:N284">C173+C269</f>
        <v>1015373.1189943148</v>
      </c>
      <c r="D284" s="129">
        <f t="shared" si="60"/>
        <v>1027266.274073157</v>
      </c>
      <c r="E284" s="129">
        <f t="shared" si="60"/>
        <v>998796.555221549</v>
      </c>
      <c r="F284" s="129">
        <f t="shared" si="60"/>
        <v>1019493.3012832766</v>
      </c>
      <c r="G284" s="129">
        <f t="shared" si="60"/>
        <v>1012239.5003378241</v>
      </c>
      <c r="H284" s="129">
        <f t="shared" si="60"/>
        <v>1053234.2765756096</v>
      </c>
      <c r="I284" s="129">
        <f t="shared" si="60"/>
        <v>1061172.2508443643</v>
      </c>
      <c r="J284" s="129">
        <f t="shared" si="60"/>
        <v>982622.8035231747</v>
      </c>
      <c r="K284" s="129">
        <f t="shared" si="60"/>
        <v>1055522.2367633523</v>
      </c>
      <c r="L284" s="129">
        <f t="shared" si="60"/>
        <v>522150.13832956686</v>
      </c>
      <c r="M284" s="129">
        <f t="shared" si="60"/>
        <v>967813.3363521919</v>
      </c>
      <c r="N284" s="177">
        <f t="shared" si="60"/>
        <v>861131.4401163652</v>
      </c>
      <c r="O284" s="162">
        <f t="shared" si="55"/>
        <v>11576815.232414747</v>
      </c>
      <c r="P284" s="85"/>
    </row>
    <row r="285" spans="1:16" ht="11.25">
      <c r="A285" s="18" t="s">
        <v>53</v>
      </c>
      <c r="B285" s="29"/>
      <c r="C285" s="176">
        <f aca="true" t="shared" si="61" ref="C285:N285">C174+C270</f>
        <v>10800820.66556078</v>
      </c>
      <c r="D285" s="129">
        <f t="shared" si="61"/>
        <v>11809123.278736051</v>
      </c>
      <c r="E285" s="129">
        <f t="shared" si="61"/>
        <v>11227633.18092503</v>
      </c>
      <c r="F285" s="129">
        <f t="shared" si="61"/>
        <v>11796163.333642334</v>
      </c>
      <c r="G285" s="129">
        <f t="shared" si="61"/>
        <v>11405553.05932282</v>
      </c>
      <c r="H285" s="129">
        <f t="shared" si="61"/>
        <v>11915924.68418362</v>
      </c>
      <c r="I285" s="129">
        <f t="shared" si="61"/>
        <v>12585653.914625397</v>
      </c>
      <c r="J285" s="129">
        <f t="shared" si="61"/>
        <v>11762609.17782855</v>
      </c>
      <c r="K285" s="129">
        <f t="shared" si="61"/>
        <v>11404364.367800709</v>
      </c>
      <c r="L285" s="129">
        <f t="shared" si="61"/>
        <v>9299408.505532699</v>
      </c>
      <c r="M285" s="129">
        <f t="shared" si="61"/>
        <v>12450368.696202189</v>
      </c>
      <c r="N285" s="177">
        <f t="shared" si="61"/>
        <v>11875624.430025604</v>
      </c>
      <c r="O285" s="162">
        <f t="shared" si="55"/>
        <v>138333247.2943858</v>
      </c>
      <c r="P285" s="85"/>
    </row>
    <row r="286" spans="1:16" ht="11.25">
      <c r="A286" s="18" t="s">
        <v>54</v>
      </c>
      <c r="B286" s="29"/>
      <c r="C286" s="176">
        <f aca="true" t="shared" si="62" ref="C286:N286">C175+C271</f>
        <v>8636936.882995749</v>
      </c>
      <c r="D286" s="129">
        <f t="shared" si="62"/>
        <v>8991355.259470733</v>
      </c>
      <c r="E286" s="129">
        <f t="shared" si="62"/>
        <v>8222190.7521559335</v>
      </c>
      <c r="F286" s="129">
        <f t="shared" si="62"/>
        <v>7103149.759098399</v>
      </c>
      <c r="G286" s="129">
        <f t="shared" si="62"/>
        <v>8209556.898581143</v>
      </c>
      <c r="H286" s="129">
        <f t="shared" si="62"/>
        <v>9109281.450303435</v>
      </c>
      <c r="I286" s="129">
        <f t="shared" si="62"/>
        <v>8568721.007758327</v>
      </c>
      <c r="J286" s="129">
        <f t="shared" si="62"/>
        <v>8061222.93044928</v>
      </c>
      <c r="K286" s="129">
        <f t="shared" si="62"/>
        <v>8612328.50892924</v>
      </c>
      <c r="L286" s="129">
        <f t="shared" si="62"/>
        <v>8264354.850829201</v>
      </c>
      <c r="M286" s="129">
        <f t="shared" si="62"/>
        <v>8143909.265038121</v>
      </c>
      <c r="N286" s="177">
        <f t="shared" si="62"/>
        <v>7857052.774927048</v>
      </c>
      <c r="O286" s="162">
        <f t="shared" si="55"/>
        <v>99780060.34053661</v>
      </c>
      <c r="P286" s="85"/>
    </row>
    <row r="287" spans="1:16" ht="11.25">
      <c r="A287" s="18" t="s">
        <v>55</v>
      </c>
      <c r="B287" s="29"/>
      <c r="C287" s="176">
        <f aca="true" t="shared" si="63" ref="C287:N287">C176+C272</f>
        <v>17227821.479477458</v>
      </c>
      <c r="D287" s="129">
        <f t="shared" si="63"/>
        <v>17538670.103112847</v>
      </c>
      <c r="E287" s="129">
        <f t="shared" si="63"/>
        <v>16877544.500425257</v>
      </c>
      <c r="F287" s="129">
        <f t="shared" si="63"/>
        <v>17690613.508409988</v>
      </c>
      <c r="G287" s="129">
        <f t="shared" si="63"/>
        <v>16393895.679036371</v>
      </c>
      <c r="H287" s="129">
        <f t="shared" si="63"/>
        <v>16414050.593739202</v>
      </c>
      <c r="I287" s="129">
        <f t="shared" si="63"/>
        <v>16260397.039086826</v>
      </c>
      <c r="J287" s="129">
        <f t="shared" si="63"/>
        <v>15193304.087520547</v>
      </c>
      <c r="K287" s="129">
        <f t="shared" si="63"/>
        <v>15951739.730544388</v>
      </c>
      <c r="L287" s="129">
        <f t="shared" si="63"/>
        <v>12832432.400540708</v>
      </c>
      <c r="M287" s="129">
        <f t="shared" si="63"/>
        <v>12019918.62756432</v>
      </c>
      <c r="N287" s="177">
        <f t="shared" si="63"/>
        <v>13565812.135070428</v>
      </c>
      <c r="O287" s="162">
        <f t="shared" si="55"/>
        <v>187966199.88452834</v>
      </c>
      <c r="P287" s="85"/>
    </row>
    <row r="288" spans="1:16" ht="11.25">
      <c r="A288" s="18" t="s">
        <v>58</v>
      </c>
      <c r="B288" s="29"/>
      <c r="C288" s="176">
        <f aca="true" t="shared" si="64" ref="C288:N288">C177+C273</f>
        <v>9146584.848370463</v>
      </c>
      <c r="D288" s="129">
        <f t="shared" si="64"/>
        <v>9263964.424313007</v>
      </c>
      <c r="E288" s="129">
        <f t="shared" si="64"/>
        <v>8970267.499836138</v>
      </c>
      <c r="F288" s="129">
        <f t="shared" si="64"/>
        <v>9277495.362910664</v>
      </c>
      <c r="G288" s="129">
        <f t="shared" si="64"/>
        <v>8982634.27054632</v>
      </c>
      <c r="H288" s="129">
        <f t="shared" si="64"/>
        <v>9257381.148701273</v>
      </c>
      <c r="I288" s="129">
        <f t="shared" si="64"/>
        <v>9259482.817160083</v>
      </c>
      <c r="J288" s="129">
        <f t="shared" si="64"/>
        <v>8659193.594003614</v>
      </c>
      <c r="K288" s="129">
        <f t="shared" si="64"/>
        <v>6549745.167250811</v>
      </c>
      <c r="L288" s="129">
        <f t="shared" si="64"/>
        <v>8660158.538104922</v>
      </c>
      <c r="M288" s="129">
        <f t="shared" si="64"/>
        <v>9211089.635211758</v>
      </c>
      <c r="N288" s="177">
        <f t="shared" si="64"/>
        <v>8786755.388692202</v>
      </c>
      <c r="O288" s="162">
        <f t="shared" si="55"/>
        <v>106024752.69510126</v>
      </c>
      <c r="P288" s="85"/>
    </row>
    <row r="289" spans="1:16" ht="11.25">
      <c r="A289" s="19" t="s">
        <v>59</v>
      </c>
      <c r="B289" s="29"/>
      <c r="C289" s="178">
        <f aca="true" t="shared" si="65" ref="C289:N289">C179+C274</f>
        <v>1740467.1665214875</v>
      </c>
      <c r="D289" s="179">
        <f t="shared" si="65"/>
        <v>1742806.238972796</v>
      </c>
      <c r="E289" s="179">
        <f t="shared" si="65"/>
        <v>1686825.258274154</v>
      </c>
      <c r="F289" s="179">
        <f t="shared" si="65"/>
        <v>1740409.7152447607</v>
      </c>
      <c r="G289" s="179">
        <f t="shared" si="65"/>
        <v>1727497.209195922</v>
      </c>
      <c r="H289" s="179">
        <f t="shared" si="65"/>
        <v>1784589.2538168281</v>
      </c>
      <c r="I289" s="179">
        <f t="shared" si="65"/>
        <v>1785028.8320983506</v>
      </c>
      <c r="J289" s="179">
        <f t="shared" si="65"/>
        <v>1669815.548770214</v>
      </c>
      <c r="K289" s="179">
        <f t="shared" si="65"/>
        <v>1784703.8388902682</v>
      </c>
      <c r="L289" s="179">
        <f t="shared" si="65"/>
        <v>1726648.412729753</v>
      </c>
      <c r="M289" s="179">
        <f t="shared" si="65"/>
        <v>1742565.6244322776</v>
      </c>
      <c r="N289" s="180">
        <f t="shared" si="65"/>
        <v>1608065.5515888163</v>
      </c>
      <c r="O289" s="163">
        <f t="shared" si="55"/>
        <v>20739422.650535624</v>
      </c>
      <c r="P289" s="85"/>
    </row>
    <row r="290" spans="1:15" ht="11.25">
      <c r="A290" s="38" t="s">
        <v>215</v>
      </c>
      <c r="B290" s="34"/>
      <c r="C290" s="190">
        <f aca="true" t="shared" si="66" ref="C290:O290">SUM(C279:C289)</f>
        <v>63643003.3705282</v>
      </c>
      <c r="D290" s="78">
        <f t="shared" si="66"/>
        <v>65732488.56009932</v>
      </c>
      <c r="E290" s="78">
        <f t="shared" si="66"/>
        <v>62758592.88273668</v>
      </c>
      <c r="F290" s="78">
        <f t="shared" si="66"/>
        <v>63806080.310653</v>
      </c>
      <c r="G290" s="78">
        <f t="shared" si="66"/>
        <v>62309292.25282026</v>
      </c>
      <c r="H290" s="78">
        <f t="shared" si="66"/>
        <v>64117067.35503282</v>
      </c>
      <c r="I290" s="78">
        <f t="shared" si="66"/>
        <v>63586039.97944201</v>
      </c>
      <c r="J290" s="78">
        <f t="shared" si="66"/>
        <v>60264563.6800128</v>
      </c>
      <c r="K290" s="78">
        <f t="shared" si="66"/>
        <v>60378720.701478414</v>
      </c>
      <c r="L290" s="78">
        <f t="shared" si="66"/>
        <v>53082983.87864429</v>
      </c>
      <c r="M290" s="78">
        <f t="shared" si="66"/>
        <v>55342203.699334435</v>
      </c>
      <c r="N290" s="191">
        <f t="shared" si="66"/>
        <v>58665149.12497515</v>
      </c>
      <c r="O290" s="134">
        <f t="shared" si="66"/>
        <v>733686185.7957573</v>
      </c>
    </row>
    <row r="291" spans="3:16" ht="11.25"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84"/>
    </row>
    <row r="292" spans="3:18" ht="11.25">
      <c r="C292" s="269"/>
      <c r="D292" s="269"/>
      <c r="E292" s="269"/>
      <c r="F292" s="269"/>
      <c r="G292" s="269"/>
      <c r="H292" s="269"/>
      <c r="I292" s="269"/>
      <c r="J292" s="269"/>
      <c r="K292" s="269"/>
      <c r="L292" s="269"/>
      <c r="M292" s="269"/>
      <c r="N292" s="269"/>
      <c r="O292" s="269"/>
      <c r="Q292" s="86"/>
      <c r="R292" s="10"/>
    </row>
    <row r="293" spans="1:18" ht="11.25">
      <c r="A293" s="5" t="s">
        <v>303</v>
      </c>
      <c r="C293" s="269"/>
      <c r="D293" s="269"/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Q293" s="86"/>
      <c r="R293" s="10"/>
    </row>
    <row r="294" spans="1:18" ht="11.25">
      <c r="A294" s="15" t="s">
        <v>216</v>
      </c>
      <c r="B294" s="30"/>
      <c r="C294" s="165">
        <v>1102722.5</v>
      </c>
      <c r="D294" s="165">
        <v>3596507.3194481106</v>
      </c>
      <c r="E294" s="165">
        <v>3940473.2920302115</v>
      </c>
      <c r="F294" s="165">
        <v>4031232.51488837</v>
      </c>
      <c r="G294" s="165">
        <v>3089673.915817963</v>
      </c>
      <c r="H294" s="165">
        <v>3651087.0637041037</v>
      </c>
      <c r="I294" s="165">
        <v>2192134.7263978766</v>
      </c>
      <c r="J294" s="165">
        <v>1067123.3280907692</v>
      </c>
      <c r="K294" s="165">
        <v>1102722.5</v>
      </c>
      <c r="L294" s="165">
        <v>1945682</v>
      </c>
      <c r="M294" s="165">
        <v>2007457.5</v>
      </c>
      <c r="N294" s="165">
        <v>1069922</v>
      </c>
      <c r="O294" s="126">
        <f aca="true" t="shared" si="67" ref="O294:O301">SUM(C294:N294)</f>
        <v>28796738.6603774</v>
      </c>
      <c r="Q294" s="86"/>
      <c r="R294" s="10"/>
    </row>
    <row r="295" spans="1:18" ht="11.25">
      <c r="A295" s="18" t="s">
        <v>42</v>
      </c>
      <c r="B295" s="29"/>
      <c r="C295" s="62">
        <v>4980057.034069201</v>
      </c>
      <c r="D295" s="62">
        <v>4508862.968057749</v>
      </c>
      <c r="E295" s="62">
        <v>5013235.789940226</v>
      </c>
      <c r="F295" s="62">
        <v>3614915.5925971246</v>
      </c>
      <c r="G295" s="62">
        <v>4410696.759168914</v>
      </c>
      <c r="H295" s="62">
        <v>4368754.632775031</v>
      </c>
      <c r="I295" s="62">
        <v>4032341.736657741</v>
      </c>
      <c r="J295" s="62">
        <v>3674785.396894519</v>
      </c>
      <c r="K295" s="62">
        <v>3216353.9763465784</v>
      </c>
      <c r="L295" s="62">
        <v>5061088.44922115</v>
      </c>
      <c r="M295" s="62">
        <v>7069583.576656114</v>
      </c>
      <c r="N295" s="62">
        <v>6644872.87918863</v>
      </c>
      <c r="O295" s="135">
        <f t="shared" si="67"/>
        <v>56595548.79157297</v>
      </c>
      <c r="Q295" s="86"/>
      <c r="R295" s="10"/>
    </row>
    <row r="296" spans="1:18" ht="11.25">
      <c r="A296" s="18" t="s">
        <v>49</v>
      </c>
      <c r="B296" s="29"/>
      <c r="C296" s="62">
        <v>1195330.6282994612</v>
      </c>
      <c r="D296" s="62">
        <v>1063691.1070548312</v>
      </c>
      <c r="E296" s="62">
        <v>92742.69100211347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424923.4363067323</v>
      </c>
      <c r="O296" s="135">
        <f t="shared" si="67"/>
        <v>2776687.8626631377</v>
      </c>
      <c r="Q296" s="86"/>
      <c r="R296" s="10"/>
    </row>
    <row r="297" spans="1:18" ht="11.25">
      <c r="A297" s="18" t="s">
        <v>50</v>
      </c>
      <c r="B297" s="29"/>
      <c r="C297" s="62">
        <v>1240708.4927127054</v>
      </c>
      <c r="D297" s="62">
        <v>1123850.3856244057</v>
      </c>
      <c r="E297" s="62">
        <v>1277302.0898989597</v>
      </c>
      <c r="F297" s="62">
        <v>1006237.9486071605</v>
      </c>
      <c r="G297" s="62">
        <v>1063465.507787312</v>
      </c>
      <c r="H297" s="62">
        <v>1024250.1923780721</v>
      </c>
      <c r="I297" s="62">
        <v>939982.861252651</v>
      </c>
      <c r="J297" s="62">
        <v>836284.5938651063</v>
      </c>
      <c r="K297" s="62">
        <v>800458.588423804</v>
      </c>
      <c r="L297" s="62">
        <v>1303103.9566901482</v>
      </c>
      <c r="M297" s="62">
        <v>1841508.0552148372</v>
      </c>
      <c r="N297" s="62">
        <v>1689595.4745474975</v>
      </c>
      <c r="O297" s="135">
        <f t="shared" si="67"/>
        <v>14146748.147002658</v>
      </c>
      <c r="Q297" s="86"/>
      <c r="R297" s="10"/>
    </row>
    <row r="298" spans="1:18" ht="11.25">
      <c r="A298" s="18" t="s">
        <v>52</v>
      </c>
      <c r="B298" s="29"/>
      <c r="C298" s="62">
        <v>4947197</v>
      </c>
      <c r="D298" s="62">
        <v>2784523.1805518884</v>
      </c>
      <c r="E298" s="62">
        <v>2278363.7079697885</v>
      </c>
      <c r="F298" s="62">
        <v>2860181.9851116296</v>
      </c>
      <c r="G298" s="62">
        <v>2079673.0841820375</v>
      </c>
      <c r="H298" s="62">
        <v>2250590.436295897</v>
      </c>
      <c r="I298" s="62">
        <v>1107340.7736021234</v>
      </c>
      <c r="J298" s="62">
        <v>2066524.1719092305</v>
      </c>
      <c r="K298" s="62">
        <v>1949202.5</v>
      </c>
      <c r="L298" s="62">
        <v>875760</v>
      </c>
      <c r="M298" s="62">
        <v>904735</v>
      </c>
      <c r="N298" s="62">
        <v>1753680</v>
      </c>
      <c r="O298" s="135">
        <f t="shared" si="67"/>
        <v>25857771.839622594</v>
      </c>
      <c r="Q298" s="86"/>
      <c r="R298" s="10"/>
    </row>
    <row r="299" spans="1:18" ht="11.25">
      <c r="A299" s="18" t="s">
        <v>56</v>
      </c>
      <c r="B299" s="29"/>
      <c r="C299" s="62">
        <v>4125043.684918632</v>
      </c>
      <c r="D299" s="62">
        <v>5915227.379263015</v>
      </c>
      <c r="E299" s="62">
        <v>5398974.2691587</v>
      </c>
      <c r="F299" s="62">
        <v>3467671.350804965</v>
      </c>
      <c r="G299" s="62">
        <v>4913590.335338414</v>
      </c>
      <c r="H299" s="62">
        <v>5054085.409812575</v>
      </c>
      <c r="I299" s="62">
        <v>4244486.701030293</v>
      </c>
      <c r="J299" s="62">
        <v>4068011.84432902</v>
      </c>
      <c r="K299" s="62">
        <v>3914415.199229618</v>
      </c>
      <c r="L299" s="62">
        <v>2916180.3540887013</v>
      </c>
      <c r="M299" s="62">
        <v>3966335.6281290483</v>
      </c>
      <c r="N299" s="62">
        <v>4261373.469957138</v>
      </c>
      <c r="O299" s="135">
        <f t="shared" si="67"/>
        <v>52245395.62606012</v>
      </c>
      <c r="Q299" s="86"/>
      <c r="R299" s="10"/>
    </row>
    <row r="300" spans="1:18" ht="11.25">
      <c r="A300" s="18" t="s">
        <v>57</v>
      </c>
      <c r="B300" s="29"/>
      <c r="C300" s="62">
        <v>0</v>
      </c>
      <c r="D300" s="62">
        <v>0</v>
      </c>
      <c r="E300" s="62">
        <v>0</v>
      </c>
      <c r="F300" s="62">
        <v>350067.447990749</v>
      </c>
      <c r="G300" s="62">
        <v>421559.9455053609</v>
      </c>
      <c r="H300" s="62">
        <v>406006.15503432194</v>
      </c>
      <c r="I300" s="62">
        <v>372602.84105931706</v>
      </c>
      <c r="J300" s="62">
        <v>343341.03091135394</v>
      </c>
      <c r="K300" s="62">
        <v>0</v>
      </c>
      <c r="L300" s="62">
        <v>0</v>
      </c>
      <c r="M300" s="62">
        <v>0</v>
      </c>
      <c r="N300" s="62">
        <v>0</v>
      </c>
      <c r="O300" s="135">
        <f t="shared" si="67"/>
        <v>1893577.420501103</v>
      </c>
      <c r="Q300" s="86"/>
      <c r="R300" s="10"/>
    </row>
    <row r="301" spans="1:18" ht="11.25">
      <c r="A301" s="18" t="s">
        <v>293</v>
      </c>
      <c r="B301" s="29"/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135">
        <f t="shared" si="67"/>
        <v>0</v>
      </c>
      <c r="Q301" s="86"/>
      <c r="R301" s="10"/>
    </row>
    <row r="302" spans="1:18" ht="11.25">
      <c r="A302" s="38" t="s">
        <v>294</v>
      </c>
      <c r="B302" s="34"/>
      <c r="C302" s="78">
        <f>SUM(C294:C301)</f>
        <v>17591059.34</v>
      </c>
      <c r="D302" s="78">
        <f aca="true" t="shared" si="68" ref="D302:O302">SUM(D294:D301)</f>
        <v>18992662.34</v>
      </c>
      <c r="E302" s="78">
        <f t="shared" si="68"/>
        <v>18001091.84</v>
      </c>
      <c r="F302" s="78">
        <f t="shared" si="68"/>
        <v>15330306.84</v>
      </c>
      <c r="G302" s="78">
        <f t="shared" si="68"/>
        <v>15978659.547799999</v>
      </c>
      <c r="H302" s="78">
        <f t="shared" si="68"/>
        <v>16754773.89</v>
      </c>
      <c r="I302" s="78">
        <f t="shared" si="68"/>
        <v>12888889.640000002</v>
      </c>
      <c r="J302" s="78">
        <f t="shared" si="68"/>
        <v>12056070.365999999</v>
      </c>
      <c r="K302" s="78">
        <f t="shared" si="68"/>
        <v>10983152.764</v>
      </c>
      <c r="L302" s="78">
        <f t="shared" si="68"/>
        <v>12101814.76</v>
      </c>
      <c r="M302" s="78">
        <f t="shared" si="68"/>
        <v>15789619.76</v>
      </c>
      <c r="N302" s="78">
        <f t="shared" si="68"/>
        <v>15844367.259999998</v>
      </c>
      <c r="O302" s="134">
        <f t="shared" si="68"/>
        <v>182312468.3478</v>
      </c>
      <c r="Q302" s="86"/>
      <c r="R302" s="10"/>
    </row>
    <row r="303" spans="17:18" ht="11.25">
      <c r="Q303" s="86"/>
      <c r="R303" s="10"/>
    </row>
    <row r="304" spans="17:18" ht="11.25">
      <c r="Q304" s="86"/>
      <c r="R304" s="10"/>
    </row>
    <row r="305" spans="1:13" ht="11.25">
      <c r="A305" s="5" t="s">
        <v>307</v>
      </c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6" ht="11.25">
      <c r="A306" s="15" t="s">
        <v>216</v>
      </c>
      <c r="B306" s="30"/>
      <c r="C306" s="188">
        <f aca="true" t="shared" si="69" ref="C306:N306">C183+C294</f>
        <v>1102722.5</v>
      </c>
      <c r="D306" s="125">
        <f t="shared" si="69"/>
        <v>12114868.80294811</v>
      </c>
      <c r="E306" s="125">
        <f t="shared" si="69"/>
        <v>13468792.352030212</v>
      </c>
      <c r="F306" s="125">
        <f t="shared" si="69"/>
        <v>12805368.51088837</v>
      </c>
      <c r="G306" s="125">
        <f t="shared" si="69"/>
        <v>12054714.926317964</v>
      </c>
      <c r="H306" s="125">
        <f t="shared" si="69"/>
        <v>15767306.111504104</v>
      </c>
      <c r="I306" s="125">
        <f t="shared" si="69"/>
        <v>10249490.641097877</v>
      </c>
      <c r="J306" s="125">
        <f t="shared" si="69"/>
        <v>1145343.6900907692</v>
      </c>
      <c r="K306" s="125">
        <f t="shared" si="69"/>
        <v>1102722.5</v>
      </c>
      <c r="L306" s="125">
        <f t="shared" si="69"/>
        <v>1945682</v>
      </c>
      <c r="M306" s="125">
        <f t="shared" si="69"/>
        <v>2007457.5</v>
      </c>
      <c r="N306" s="182">
        <f t="shared" si="69"/>
        <v>1069922</v>
      </c>
      <c r="O306" s="183">
        <f aca="true" t="shared" si="70" ref="O306:O312">SUM(C306:N306)</f>
        <v>84834391.5348774</v>
      </c>
      <c r="P306" s="85"/>
    </row>
    <row r="307" spans="1:16" ht="11.25">
      <c r="A307" s="18" t="s">
        <v>42</v>
      </c>
      <c r="B307" s="29"/>
      <c r="C307" s="176">
        <f aca="true" t="shared" si="71" ref="C307:N307">C184+C295</f>
        <v>11780509.439879201</v>
      </c>
      <c r="D307" s="129">
        <f t="shared" si="71"/>
        <v>11509667.078837749</v>
      </c>
      <c r="E307" s="129">
        <f t="shared" si="71"/>
        <v>11748386.214340225</v>
      </c>
      <c r="F307" s="129">
        <f t="shared" si="71"/>
        <v>9792212.983247126</v>
      </c>
      <c r="G307" s="129">
        <f t="shared" si="71"/>
        <v>11714431.039568912</v>
      </c>
      <c r="H307" s="129">
        <f t="shared" si="71"/>
        <v>12752826.63382503</v>
      </c>
      <c r="I307" s="129">
        <f t="shared" si="71"/>
        <v>12629147.36065774</v>
      </c>
      <c r="J307" s="129">
        <f t="shared" si="71"/>
        <v>11565607.146354519</v>
      </c>
      <c r="K307" s="129">
        <f t="shared" si="71"/>
        <v>11270377.010786578</v>
      </c>
      <c r="L307" s="129">
        <f t="shared" si="71"/>
        <v>12121239.496981151</v>
      </c>
      <c r="M307" s="129">
        <f t="shared" si="71"/>
        <v>14297417.058656115</v>
      </c>
      <c r="N307" s="177">
        <f t="shared" si="71"/>
        <v>13769008.06753863</v>
      </c>
      <c r="O307" s="162">
        <f t="shared" si="70"/>
        <v>144950829.53067297</v>
      </c>
      <c r="P307" s="85"/>
    </row>
    <row r="308" spans="1:16" ht="11.25">
      <c r="A308" s="18" t="s">
        <v>49</v>
      </c>
      <c r="B308" s="29" t="s">
        <v>86</v>
      </c>
      <c r="C308" s="176">
        <f aca="true" t="shared" si="72" ref="C308:N308">C185+C296</f>
        <v>3153178.705539461</v>
      </c>
      <c r="D308" s="129">
        <f t="shared" si="72"/>
        <v>3040131.4848048314</v>
      </c>
      <c r="E308" s="129">
        <f t="shared" si="72"/>
        <v>244735.57732211344</v>
      </c>
      <c r="F308" s="129">
        <f t="shared" si="72"/>
        <v>0</v>
      </c>
      <c r="G308" s="129">
        <f t="shared" si="72"/>
        <v>0</v>
      </c>
      <c r="H308" s="129">
        <f t="shared" si="72"/>
        <v>0</v>
      </c>
      <c r="I308" s="129">
        <f t="shared" si="72"/>
        <v>0</v>
      </c>
      <c r="J308" s="129">
        <f t="shared" si="72"/>
        <v>0</v>
      </c>
      <c r="K308" s="129">
        <f t="shared" si="72"/>
        <v>0</v>
      </c>
      <c r="L308" s="129">
        <f t="shared" si="72"/>
        <v>0</v>
      </c>
      <c r="M308" s="129">
        <f t="shared" si="72"/>
        <v>0</v>
      </c>
      <c r="N308" s="177">
        <f t="shared" si="72"/>
        <v>993880.2413467322</v>
      </c>
      <c r="O308" s="162">
        <f t="shared" si="70"/>
        <v>7431926.009013139</v>
      </c>
      <c r="P308" s="85"/>
    </row>
    <row r="309" spans="1:16" ht="11.25">
      <c r="A309" s="18" t="s">
        <v>50</v>
      </c>
      <c r="B309" s="29" t="s">
        <v>85</v>
      </c>
      <c r="C309" s="176">
        <f aca="true" t="shared" si="73" ref="C309:N309">C186+C297</f>
        <v>3144243.4890327053</v>
      </c>
      <c r="D309" s="129">
        <f t="shared" si="73"/>
        <v>3066797.122824406</v>
      </c>
      <c r="E309" s="129">
        <f t="shared" si="73"/>
        <v>3144914.2298989594</v>
      </c>
      <c r="F309" s="129">
        <f t="shared" si="73"/>
        <v>2943088.64740716</v>
      </c>
      <c r="G309" s="129">
        <f t="shared" si="73"/>
        <v>3014978.311787312</v>
      </c>
      <c r="H309" s="129">
        <f t="shared" si="73"/>
        <v>3191348.765978072</v>
      </c>
      <c r="I309" s="129">
        <f t="shared" si="73"/>
        <v>3161521.187092651</v>
      </c>
      <c r="J309" s="129">
        <f t="shared" si="73"/>
        <v>2831330.0600651065</v>
      </c>
      <c r="K309" s="129">
        <f t="shared" si="73"/>
        <v>2988003.844423804</v>
      </c>
      <c r="L309" s="129">
        <f t="shared" si="73"/>
        <v>3302916.9742901484</v>
      </c>
      <c r="M309" s="129">
        <f t="shared" si="73"/>
        <v>3890667.748814837</v>
      </c>
      <c r="N309" s="177">
        <f t="shared" si="73"/>
        <v>3674824.3881474975</v>
      </c>
      <c r="O309" s="162">
        <f t="shared" si="70"/>
        <v>38354634.76976266</v>
      </c>
      <c r="P309" s="85"/>
    </row>
    <row r="310" spans="1:16" ht="11.25">
      <c r="A310" s="18" t="s">
        <v>52</v>
      </c>
      <c r="B310" s="29"/>
      <c r="C310" s="176">
        <f aca="true" t="shared" si="74" ref="C310:N310">C187+C298</f>
        <v>7553388.496051349</v>
      </c>
      <c r="D310" s="129">
        <f t="shared" si="74"/>
        <v>8272784.176131814</v>
      </c>
      <c r="E310" s="129">
        <f t="shared" si="74"/>
        <v>7036429.427488076</v>
      </c>
      <c r="F310" s="129">
        <f t="shared" si="74"/>
        <v>7888770.157415604</v>
      </c>
      <c r="G310" s="129">
        <f t="shared" si="74"/>
        <v>7066075.659887202</v>
      </c>
      <c r="H310" s="129">
        <f t="shared" si="74"/>
        <v>7840680.285945761</v>
      </c>
      <c r="I310" s="129">
        <f t="shared" si="74"/>
        <v>5739790.034153882</v>
      </c>
      <c r="J310" s="129">
        <f t="shared" si="74"/>
        <v>5545038.01484064</v>
      </c>
      <c r="K310" s="129">
        <f t="shared" si="74"/>
        <v>3428293.17739778</v>
      </c>
      <c r="L310" s="129">
        <f t="shared" si="74"/>
        <v>1876166.709395714</v>
      </c>
      <c r="M310" s="129">
        <f t="shared" si="74"/>
        <v>1905141.709395714</v>
      </c>
      <c r="N310" s="177">
        <f t="shared" si="74"/>
        <v>2796468.23913035</v>
      </c>
      <c r="O310" s="162">
        <f t="shared" si="70"/>
        <v>66949026.087233886</v>
      </c>
      <c r="P310" s="85"/>
    </row>
    <row r="311" spans="1:16" ht="11.25">
      <c r="A311" s="18" t="s">
        <v>56</v>
      </c>
      <c r="B311" s="29"/>
      <c r="C311" s="176">
        <f aca="true" t="shared" si="75" ref="C311:N311">C188+C299</f>
        <v>9691251.559283013</v>
      </c>
      <c r="D311" s="129">
        <f t="shared" si="75"/>
        <v>14819800.20030049</v>
      </c>
      <c r="E311" s="129">
        <f t="shared" si="75"/>
        <v>12563350.706585672</v>
      </c>
      <c r="F311" s="129">
        <f t="shared" si="75"/>
        <v>8904634.910844516</v>
      </c>
      <c r="G311" s="129">
        <f t="shared" si="75"/>
        <v>12725904.665171374</v>
      </c>
      <c r="H311" s="129">
        <f t="shared" si="75"/>
        <v>14368823.240781192</v>
      </c>
      <c r="I311" s="129">
        <f t="shared" si="75"/>
        <v>12809532.13288777</v>
      </c>
      <c r="J311" s="129">
        <f t="shared" si="75"/>
        <v>12378470.804351203</v>
      </c>
      <c r="K311" s="129">
        <f t="shared" si="75"/>
        <v>13162915.005955063</v>
      </c>
      <c r="L311" s="129">
        <f t="shared" si="75"/>
        <v>6770279.952697198</v>
      </c>
      <c r="M311" s="129">
        <f t="shared" si="75"/>
        <v>7961435.158602065</v>
      </c>
      <c r="N311" s="177">
        <f t="shared" si="75"/>
        <v>8851368.28170652</v>
      </c>
      <c r="O311" s="162">
        <f t="shared" si="70"/>
        <v>135007766.61916608</v>
      </c>
      <c r="P311" s="85"/>
    </row>
    <row r="312" spans="1:16" ht="11.25">
      <c r="A312" s="19" t="s">
        <v>57</v>
      </c>
      <c r="B312" s="13"/>
      <c r="C312" s="189">
        <f aca="true" t="shared" si="76" ref="C312:N312">C189+C300</f>
        <v>0</v>
      </c>
      <c r="D312" s="179">
        <f t="shared" si="76"/>
        <v>0</v>
      </c>
      <c r="E312" s="179">
        <f t="shared" si="76"/>
        <v>0</v>
      </c>
      <c r="F312" s="179">
        <f t="shared" si="76"/>
        <v>1023894.853590749</v>
      </c>
      <c r="G312" s="179">
        <f t="shared" si="76"/>
        <v>1195142.830305361</v>
      </c>
      <c r="H312" s="179">
        <f t="shared" si="76"/>
        <v>1265027.806234322</v>
      </c>
      <c r="I312" s="179">
        <f t="shared" si="76"/>
        <v>1253204.082659317</v>
      </c>
      <c r="J312" s="179">
        <f t="shared" si="76"/>
        <v>1162258.876511354</v>
      </c>
      <c r="K312" s="179">
        <f t="shared" si="76"/>
        <v>0</v>
      </c>
      <c r="L312" s="179">
        <f t="shared" si="76"/>
        <v>0</v>
      </c>
      <c r="M312" s="179">
        <f t="shared" si="76"/>
        <v>0</v>
      </c>
      <c r="N312" s="180">
        <f t="shared" si="76"/>
        <v>0</v>
      </c>
      <c r="O312" s="163">
        <f t="shared" si="70"/>
        <v>5899528.449301103</v>
      </c>
      <c r="P312" s="85"/>
    </row>
    <row r="313" spans="1:15" ht="11.25">
      <c r="A313" s="19" t="s">
        <v>217</v>
      </c>
      <c r="B313" s="13"/>
      <c r="C313" s="185">
        <f aca="true" t="shared" si="77" ref="C313:O313">SUM(C306:C312)</f>
        <v>36425294.18978573</v>
      </c>
      <c r="D313" s="77">
        <f t="shared" si="77"/>
        <v>52824048.8658474</v>
      </c>
      <c r="E313" s="77">
        <f t="shared" si="77"/>
        <v>48206608.50766526</v>
      </c>
      <c r="F313" s="77">
        <f t="shared" si="77"/>
        <v>43357970.063393526</v>
      </c>
      <c r="G313" s="77">
        <f t="shared" si="77"/>
        <v>47771247.43303812</v>
      </c>
      <c r="H313" s="77">
        <f t="shared" si="77"/>
        <v>55186012.84426848</v>
      </c>
      <c r="I313" s="77">
        <f t="shared" si="77"/>
        <v>45842685.438549235</v>
      </c>
      <c r="J313" s="77">
        <f t="shared" si="77"/>
        <v>34628048.59221359</v>
      </c>
      <c r="K313" s="77">
        <f t="shared" si="77"/>
        <v>31952311.538563225</v>
      </c>
      <c r="L313" s="77">
        <f t="shared" si="77"/>
        <v>26016285.13336421</v>
      </c>
      <c r="M313" s="77">
        <f t="shared" si="77"/>
        <v>30062119.17546873</v>
      </c>
      <c r="N313" s="186">
        <f t="shared" si="77"/>
        <v>31155471.21786973</v>
      </c>
      <c r="O313" s="187">
        <f t="shared" si="77"/>
        <v>483428103.0000273</v>
      </c>
    </row>
    <row r="314" ht="11.25">
      <c r="Q314" s="86"/>
    </row>
    <row r="315" spans="1:17" ht="11.25">
      <c r="A315" s="10"/>
      <c r="Q315" s="86"/>
    </row>
    <row r="316" spans="1:17" ht="11.25">
      <c r="A316" s="5" t="s">
        <v>291</v>
      </c>
      <c r="Q316" s="86"/>
    </row>
    <row r="317" spans="1:17" ht="11.25">
      <c r="A317" s="204" t="s">
        <v>224</v>
      </c>
      <c r="B317" s="30"/>
      <c r="C317" s="165">
        <v>2230634.2446042513</v>
      </c>
      <c r="D317" s="165">
        <v>2234487.2246042513</v>
      </c>
      <c r="E317" s="165">
        <v>2233535.9946042513</v>
      </c>
      <c r="F317" s="165">
        <v>2247525.544604251</v>
      </c>
      <c r="G317" s="165">
        <v>2238880.584604251</v>
      </c>
      <c r="H317" s="165">
        <v>2302774.334604251</v>
      </c>
      <c r="I317" s="165">
        <v>2274857.924604251</v>
      </c>
      <c r="J317" s="165">
        <v>2265299.014604251</v>
      </c>
      <c r="K317" s="165">
        <v>2277176.9946042513</v>
      </c>
      <c r="L317" s="165">
        <v>2253027.544604251</v>
      </c>
      <c r="M317" s="165">
        <v>2241285.8246042514</v>
      </c>
      <c r="N317" s="165">
        <v>2234873.724604251</v>
      </c>
      <c r="O317" s="126">
        <f>SUM(C317:N317)</f>
        <v>27034358.955251016</v>
      </c>
      <c r="Q317" s="86"/>
    </row>
    <row r="318" spans="1:17" ht="11.25">
      <c r="A318" s="94" t="s">
        <v>225</v>
      </c>
      <c r="B318" s="29"/>
      <c r="C318" s="62"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135">
        <f>SUM(C318:N318)</f>
        <v>0</v>
      </c>
      <c r="Q318" s="86"/>
    </row>
    <row r="319" spans="1:17" ht="11.25">
      <c r="A319" s="94" t="s">
        <v>62</v>
      </c>
      <c r="B319" s="29"/>
      <c r="C319" s="199">
        <v>8307774.266199639</v>
      </c>
      <c r="D319" s="62">
        <v>8409938.120461825</v>
      </c>
      <c r="E319" s="62">
        <v>8312908.695754135</v>
      </c>
      <c r="F319" s="62">
        <v>8327266.364793237</v>
      </c>
      <c r="G319" s="62">
        <v>8882206.933620216</v>
      </c>
      <c r="H319" s="62">
        <v>9219892.570014577</v>
      </c>
      <c r="I319" s="62">
        <v>8963507.971553665</v>
      </c>
      <c r="J319" s="62">
        <v>9033175.222355338</v>
      </c>
      <c r="K319" s="62">
        <v>8780590.23397536</v>
      </c>
      <c r="L319" s="62">
        <v>8858649.77775287</v>
      </c>
      <c r="M319" s="62">
        <v>8371767.729865621</v>
      </c>
      <c r="N319" s="62">
        <v>8349176.67013256</v>
      </c>
      <c r="O319" s="135">
        <f>SUM(C319:N319)</f>
        <v>103816854.55647907</v>
      </c>
      <c r="Q319" s="86"/>
    </row>
    <row r="320" spans="1:17" ht="11.25">
      <c r="A320" s="94" t="s">
        <v>23</v>
      </c>
      <c r="B320" s="29"/>
      <c r="C320" s="62">
        <v>91315.05499999996</v>
      </c>
      <c r="D320" s="62">
        <v>288756.19200000004</v>
      </c>
      <c r="E320" s="62">
        <v>777797.4730000001</v>
      </c>
      <c r="F320" s="62">
        <v>331324.236</v>
      </c>
      <c r="G320" s="62">
        <v>183654.105</v>
      </c>
      <c r="H320" s="62">
        <v>386252.319</v>
      </c>
      <c r="I320" s="62">
        <v>500493.076</v>
      </c>
      <c r="J320" s="62">
        <v>358711.43000000005</v>
      </c>
      <c r="K320" s="62">
        <v>532729.5869999999</v>
      </c>
      <c r="L320" s="62">
        <v>359803.46499999997</v>
      </c>
      <c r="M320" s="62">
        <v>263891.561</v>
      </c>
      <c r="N320" s="62">
        <v>435596.973</v>
      </c>
      <c r="O320" s="135">
        <f>SUM(C320:N320)</f>
        <v>4510325.472</v>
      </c>
      <c r="Q320" s="86"/>
    </row>
    <row r="321" spans="1:17" ht="11.25">
      <c r="A321" s="26" t="s">
        <v>289</v>
      </c>
      <c r="B321" s="13"/>
      <c r="C321" s="203">
        <v>363897.79</v>
      </c>
      <c r="D321" s="65">
        <v>256682.49</v>
      </c>
      <c r="E321" s="65">
        <v>194242.94</v>
      </c>
      <c r="F321" s="65">
        <v>266256.99</v>
      </c>
      <c r="G321" s="65">
        <v>259868.64</v>
      </c>
      <c r="H321" s="65">
        <v>526339.69</v>
      </c>
      <c r="I321" s="65">
        <v>186230.72</v>
      </c>
      <c r="J321" s="65">
        <v>169011.91999999998</v>
      </c>
      <c r="K321" s="65">
        <v>235973.74</v>
      </c>
      <c r="L321" s="65">
        <v>314503.03</v>
      </c>
      <c r="M321" s="65">
        <v>263818.94999999995</v>
      </c>
      <c r="N321" s="65">
        <v>322529.01</v>
      </c>
      <c r="O321" s="130">
        <f>SUM(C321:N321)</f>
        <v>3359355.91</v>
      </c>
      <c r="Q321" s="86"/>
    </row>
    <row r="322" spans="1:17" ht="11.25">
      <c r="A322" s="205" t="s">
        <v>290</v>
      </c>
      <c r="B322" s="34"/>
      <c r="C322" s="167">
        <f>SUM(C317:C321)</f>
        <v>10993621.355803888</v>
      </c>
      <c r="D322" s="167">
        <f aca="true" t="shared" si="78" ref="D322:O322">SUM(D317:D321)</f>
        <v>11189864.027066076</v>
      </c>
      <c r="E322" s="167">
        <f t="shared" si="78"/>
        <v>11518485.103358384</v>
      </c>
      <c r="F322" s="167">
        <f t="shared" si="78"/>
        <v>11172373.135397488</v>
      </c>
      <c r="G322" s="167">
        <f t="shared" si="78"/>
        <v>11564610.263224468</v>
      </c>
      <c r="H322" s="167">
        <f t="shared" si="78"/>
        <v>12435258.91361883</v>
      </c>
      <c r="I322" s="167">
        <f t="shared" si="78"/>
        <v>11925089.692157917</v>
      </c>
      <c r="J322" s="167">
        <f t="shared" si="78"/>
        <v>11826197.586959587</v>
      </c>
      <c r="K322" s="167">
        <f t="shared" si="78"/>
        <v>11826470.55557961</v>
      </c>
      <c r="L322" s="167">
        <f t="shared" si="78"/>
        <v>11785983.817357121</v>
      </c>
      <c r="M322" s="167">
        <f t="shared" si="78"/>
        <v>11140764.065469872</v>
      </c>
      <c r="N322" s="167">
        <f t="shared" si="78"/>
        <v>11342176.37773681</v>
      </c>
      <c r="O322" s="166">
        <f t="shared" si="78"/>
        <v>138720894.89373007</v>
      </c>
      <c r="Q322" s="86"/>
    </row>
    <row r="323" spans="1:17" ht="11.25">
      <c r="A323" s="38" t="s">
        <v>308</v>
      </c>
      <c r="B323" s="34"/>
      <c r="C323" s="206">
        <f aca="true" t="shared" si="79" ref="C323:N323">C322-C165</f>
        <v>-0.01919611170887947</v>
      </c>
      <c r="D323" s="206">
        <f t="shared" si="79"/>
        <v>-0.27493392303586006</v>
      </c>
      <c r="E323" s="206">
        <f t="shared" si="79"/>
        <v>-0.29964161477983</v>
      </c>
      <c r="F323" s="206">
        <f t="shared" si="79"/>
        <v>0.529397489503026</v>
      </c>
      <c r="G323" s="206">
        <f t="shared" si="79"/>
        <v>0.4082244671881199</v>
      </c>
      <c r="H323" s="206">
        <f t="shared" si="79"/>
        <v>-0.3953811712563038</v>
      </c>
      <c r="I323" s="206">
        <f t="shared" si="79"/>
        <v>0.1461579166352749</v>
      </c>
      <c r="J323" s="206">
        <f t="shared" si="79"/>
        <v>0.1969595868140459</v>
      </c>
      <c r="K323" s="206">
        <f t="shared" si="79"/>
        <v>-0.4614203907549381</v>
      </c>
      <c r="L323" s="206">
        <f t="shared" si="79"/>
        <v>0.2023571226745844</v>
      </c>
      <c r="M323" s="206">
        <f t="shared" si="79"/>
        <v>-0.29553012922406197</v>
      </c>
      <c r="N323" s="206">
        <f t="shared" si="79"/>
        <v>-0.09526318870484829</v>
      </c>
      <c r="O323" s="207">
        <f>SUM(C323:N323)</f>
        <v>-0.3582699466496706</v>
      </c>
      <c r="Q323" s="86"/>
    </row>
    <row r="324" spans="1:17" ht="11.25">
      <c r="A324" s="139"/>
      <c r="B324" s="29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219"/>
      <c r="Q324" s="86"/>
    </row>
    <row r="325" spans="1:18" ht="11.25">
      <c r="A325" s="139"/>
      <c r="B325" s="29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219"/>
      <c r="Q325" s="86"/>
      <c r="R325" s="10"/>
    </row>
    <row r="326" spans="1:19" ht="11.25">
      <c r="A326" s="7" t="s">
        <v>328</v>
      </c>
      <c r="B326" s="59"/>
      <c r="D326" s="231" t="s">
        <v>328</v>
      </c>
      <c r="E326" s="233"/>
      <c r="F326" s="233"/>
      <c r="G326" s="231" t="s">
        <v>328</v>
      </c>
      <c r="H326" s="233"/>
      <c r="I326" s="233"/>
      <c r="J326" s="233"/>
      <c r="K326" s="231" t="s">
        <v>328</v>
      </c>
      <c r="L326" s="233"/>
      <c r="M326" s="233"/>
      <c r="N326" s="231" t="s">
        <v>328</v>
      </c>
      <c r="O326" s="59"/>
      <c r="P326" s="59"/>
      <c r="Q326" s="59"/>
      <c r="R326" s="59"/>
      <c r="S326" s="59"/>
    </row>
    <row r="327" ht="11.25">
      <c r="R327" s="10" t="s">
        <v>279</v>
      </c>
    </row>
    <row r="328" spans="15:18" ht="11.25">
      <c r="O328" s="3"/>
      <c r="Q328" s="86"/>
      <c r="R328" s="10" t="s">
        <v>280</v>
      </c>
    </row>
    <row r="329" spans="1:18" ht="11.25">
      <c r="A329" s="41" t="s">
        <v>332</v>
      </c>
      <c r="B329" s="220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40"/>
      <c r="Q329" s="86"/>
      <c r="R329" s="10" t="s">
        <v>281</v>
      </c>
    </row>
    <row r="330" spans="15:19" ht="11.25">
      <c r="O330" s="3"/>
      <c r="Q330" s="86"/>
      <c r="R330" s="10" t="s">
        <v>282</v>
      </c>
      <c r="S330" s="154" t="s">
        <v>314</v>
      </c>
    </row>
    <row r="331" spans="1:19" ht="11.25">
      <c r="A331" s="106" t="s">
        <v>1</v>
      </c>
      <c r="B331" s="21" t="s">
        <v>235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92"/>
      <c r="Q331" s="86"/>
      <c r="R331" s="92"/>
      <c r="S331" s="152"/>
    </row>
    <row r="332" spans="1:19" ht="11.25">
      <c r="A332" s="45" t="s">
        <v>89</v>
      </c>
      <c r="B332" s="23" t="s">
        <v>61</v>
      </c>
      <c r="C332" s="59">
        <f>C9+C17</f>
        <v>2519262.409</v>
      </c>
      <c r="D332" s="59">
        <f aca="true" t="shared" si="80" ref="D332:O332">D9+D17</f>
        <v>2415425.535</v>
      </c>
      <c r="E332" s="59">
        <f t="shared" si="80"/>
        <v>1335251.607</v>
      </c>
      <c r="F332" s="59">
        <f t="shared" si="80"/>
        <v>1080389.8620000002</v>
      </c>
      <c r="G332" s="59">
        <f t="shared" si="80"/>
        <v>1060944.527</v>
      </c>
      <c r="H332" s="59">
        <f t="shared" si="80"/>
        <v>1084310.262</v>
      </c>
      <c r="I332" s="59">
        <f t="shared" si="80"/>
        <v>2231974.862</v>
      </c>
      <c r="J332" s="59">
        <f t="shared" si="80"/>
        <v>2133257.103</v>
      </c>
      <c r="K332" s="59">
        <f t="shared" si="80"/>
        <v>1952851.305</v>
      </c>
      <c r="L332" s="59">
        <f t="shared" si="80"/>
        <v>1950422.1269999999</v>
      </c>
      <c r="M332" s="59">
        <f t="shared" si="80"/>
        <v>1777894.8879999998</v>
      </c>
      <c r="N332" s="59">
        <f t="shared" si="80"/>
        <v>1788986.454</v>
      </c>
      <c r="O332" s="33">
        <f t="shared" si="80"/>
        <v>21330970.941</v>
      </c>
      <c r="P332" s="85">
        <f>SUM(C332:N332)-O332</f>
        <v>0</v>
      </c>
      <c r="Q332" s="86"/>
      <c r="R332" s="109">
        <v>21330971</v>
      </c>
      <c r="S332" s="211">
        <f>ROUND(O332-R332,0)</f>
        <v>0</v>
      </c>
    </row>
    <row r="333" spans="1:19" ht="11.25">
      <c r="A333" s="45" t="s">
        <v>90</v>
      </c>
      <c r="B333" s="23" t="s">
        <v>61</v>
      </c>
      <c r="C333" s="59">
        <f>C12</f>
        <v>2164955.2</v>
      </c>
      <c r="D333" s="59">
        <f aca="true" t="shared" si="81" ref="D333:O333">D12</f>
        <v>2164955.2</v>
      </c>
      <c r="E333" s="59">
        <f t="shared" si="81"/>
        <v>2095115.4</v>
      </c>
      <c r="F333" s="59">
        <f t="shared" si="81"/>
        <v>2164955.2</v>
      </c>
      <c r="G333" s="59">
        <f t="shared" si="81"/>
        <v>2095115.4</v>
      </c>
      <c r="H333" s="59">
        <f t="shared" si="81"/>
        <v>2164955.2</v>
      </c>
      <c r="I333" s="59">
        <f t="shared" si="81"/>
        <v>2164955.2</v>
      </c>
      <c r="J333" s="59">
        <f t="shared" si="81"/>
        <v>1955435.2</v>
      </c>
      <c r="K333" s="59">
        <f t="shared" si="81"/>
        <v>2164955.2</v>
      </c>
      <c r="L333" s="59">
        <f t="shared" si="81"/>
        <v>2095115.4</v>
      </c>
      <c r="M333" s="59">
        <f t="shared" si="81"/>
        <v>2164955.2</v>
      </c>
      <c r="N333" s="59">
        <f t="shared" si="81"/>
        <v>2095115.4</v>
      </c>
      <c r="O333" s="33">
        <f t="shared" si="81"/>
        <v>25490583.199999996</v>
      </c>
      <c r="P333" s="85">
        <f>SUM(C333:N333)-O333</f>
        <v>0</v>
      </c>
      <c r="Q333" s="86"/>
      <c r="R333" s="109">
        <v>25490583</v>
      </c>
      <c r="S333" s="211">
        <f>ROUND(O333-R333,0)</f>
        <v>0</v>
      </c>
    </row>
    <row r="334" spans="1:19" ht="11.25">
      <c r="A334" s="45" t="s">
        <v>62</v>
      </c>
      <c r="B334" s="23" t="s">
        <v>61</v>
      </c>
      <c r="C334" s="59">
        <f>SUM(C10:C11)+SUM(C13:C16)+C18+C29+C39</f>
        <v>29945674.2342</v>
      </c>
      <c r="D334" s="59">
        <f aca="true" t="shared" si="82" ref="D334:O334">SUM(D10:D11)+SUM(D13:D16)+D18+D29+D39</f>
        <v>35234838.9642</v>
      </c>
      <c r="E334" s="59">
        <f t="shared" si="82"/>
        <v>36876820.0405</v>
      </c>
      <c r="F334" s="59">
        <f t="shared" si="82"/>
        <v>44701192.934200004</v>
      </c>
      <c r="G334" s="59">
        <f t="shared" si="82"/>
        <v>44401732.8005</v>
      </c>
      <c r="H334" s="59">
        <f t="shared" si="82"/>
        <v>52771014.6542</v>
      </c>
      <c r="I334" s="59">
        <f t="shared" si="82"/>
        <v>42013009.1942</v>
      </c>
      <c r="J334" s="59">
        <f t="shared" si="82"/>
        <v>37257127.0782</v>
      </c>
      <c r="K334" s="59">
        <f t="shared" si="82"/>
        <v>38480594.584199995</v>
      </c>
      <c r="L334" s="59">
        <f t="shared" si="82"/>
        <v>29670050.2555</v>
      </c>
      <c r="M334" s="59">
        <f t="shared" si="82"/>
        <v>23763177.0242</v>
      </c>
      <c r="N334" s="59">
        <f t="shared" si="82"/>
        <v>27563803.476499997</v>
      </c>
      <c r="O334" s="33">
        <f t="shared" si="82"/>
        <v>442679035.2406</v>
      </c>
      <c r="P334" s="85">
        <f>SUM(C334:N334)-O334</f>
        <v>0</v>
      </c>
      <c r="Q334" s="86"/>
      <c r="R334" s="109">
        <v>442679035</v>
      </c>
      <c r="S334" s="211">
        <f>ROUND(O334-R334,0)</f>
        <v>0</v>
      </c>
    </row>
    <row r="335" spans="1:19" ht="11.25">
      <c r="A335" s="46" t="s">
        <v>23</v>
      </c>
      <c r="B335" s="27" t="s">
        <v>63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101">
        <v>0</v>
      </c>
      <c r="P335" s="85">
        <f>SUM(C335:N335)-O335</f>
        <v>0</v>
      </c>
      <c r="Q335" s="86"/>
      <c r="R335" s="101"/>
      <c r="S335" s="212"/>
    </row>
    <row r="336" spans="1:19" ht="11.25">
      <c r="A336" s="98" t="s">
        <v>232</v>
      </c>
      <c r="B336" s="99"/>
      <c r="C336" s="78">
        <f aca="true" t="shared" si="83" ref="C336:N336">SUM(C332:C335)</f>
        <v>34629891.8432</v>
      </c>
      <c r="D336" s="78">
        <f t="shared" si="83"/>
        <v>39815219.6992</v>
      </c>
      <c r="E336" s="78">
        <f t="shared" si="83"/>
        <v>40307187.0475</v>
      </c>
      <c r="F336" s="78">
        <f t="shared" si="83"/>
        <v>47946537.9962</v>
      </c>
      <c r="G336" s="78">
        <f t="shared" si="83"/>
        <v>47557792.7275</v>
      </c>
      <c r="H336" s="78">
        <f t="shared" si="83"/>
        <v>56020280.1162</v>
      </c>
      <c r="I336" s="78">
        <f t="shared" si="83"/>
        <v>46409939.2562</v>
      </c>
      <c r="J336" s="78">
        <f t="shared" si="83"/>
        <v>41345819.3812</v>
      </c>
      <c r="K336" s="78">
        <f t="shared" si="83"/>
        <v>42598401.0892</v>
      </c>
      <c r="L336" s="78">
        <f t="shared" si="83"/>
        <v>33715587.7825</v>
      </c>
      <c r="M336" s="78">
        <f t="shared" si="83"/>
        <v>27706027.1122</v>
      </c>
      <c r="N336" s="78">
        <f t="shared" si="83"/>
        <v>31447905.330499995</v>
      </c>
      <c r="O336" s="39">
        <f>SUM(O332:O335)</f>
        <v>489500589.38159996</v>
      </c>
      <c r="P336" s="85">
        <f>SUM(C336:N336)-O336</f>
        <v>0</v>
      </c>
      <c r="Q336" s="86"/>
      <c r="R336" s="39">
        <f>SUM(R332:R335)</f>
        <v>489500589</v>
      </c>
      <c r="S336" s="213">
        <f>ROUND(O336-R336,0)</f>
        <v>0</v>
      </c>
    </row>
    <row r="337" spans="1:19" ht="11.25">
      <c r="A337" s="4"/>
      <c r="B337" s="11"/>
      <c r="O337" s="102"/>
      <c r="Q337" s="86"/>
      <c r="R337" s="102"/>
      <c r="S337" s="212"/>
    </row>
    <row r="338" spans="1:19" ht="11.25">
      <c r="A338" s="107" t="s">
        <v>2</v>
      </c>
      <c r="B338" s="23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102"/>
      <c r="P338" s="85">
        <f>SUM(C237:N237)-O237</f>
        <v>0</v>
      </c>
      <c r="Q338" s="86"/>
      <c r="R338" s="102"/>
      <c r="S338" s="212"/>
    </row>
    <row r="339" spans="1:19" ht="11.25">
      <c r="A339" s="47" t="s">
        <v>14</v>
      </c>
      <c r="B339" s="23" t="s">
        <v>61</v>
      </c>
      <c r="C339" s="59">
        <f aca="true" t="shared" si="84" ref="C339:O339">C237+C240+C243+C246+C250+C128</f>
        <v>5961374.017819953</v>
      </c>
      <c r="D339" s="59">
        <f t="shared" si="84"/>
        <v>5916951.323731856</v>
      </c>
      <c r="E339" s="59">
        <f t="shared" si="84"/>
        <v>1042350.5603340247</v>
      </c>
      <c r="F339" s="59">
        <f t="shared" si="84"/>
        <v>713421.7023276587</v>
      </c>
      <c r="G339" s="59">
        <f t="shared" si="84"/>
        <v>581728.3611782596</v>
      </c>
      <c r="H339" s="59">
        <f t="shared" si="84"/>
        <v>640975.1647384905</v>
      </c>
      <c r="I339" s="59">
        <f t="shared" si="84"/>
        <v>310114.54011695774</v>
      </c>
      <c r="J339" s="59">
        <f t="shared" si="84"/>
        <v>291603.14522594475</v>
      </c>
      <c r="K339" s="59">
        <f t="shared" si="84"/>
        <v>340311.01108212443</v>
      </c>
      <c r="L339" s="59">
        <f t="shared" si="84"/>
        <v>390593.6753430788</v>
      </c>
      <c r="M339" s="59">
        <f t="shared" si="84"/>
        <v>439146.67535938683</v>
      </c>
      <c r="N339" s="59">
        <f t="shared" si="84"/>
        <v>421565.25394933013</v>
      </c>
      <c r="O339" s="33">
        <f t="shared" si="84"/>
        <v>17050135.431207065</v>
      </c>
      <c r="P339" s="85">
        <f aca="true" t="shared" si="85" ref="P339:P354">SUM(C339:N339)-O339</f>
        <v>0</v>
      </c>
      <c r="Q339" s="86"/>
      <c r="R339" s="109">
        <v>17050135</v>
      </c>
      <c r="S339" s="211">
        <f>ROUND(O339-R339,0)</f>
        <v>0</v>
      </c>
    </row>
    <row r="340" spans="1:19" ht="11.25">
      <c r="A340" s="47" t="s">
        <v>15</v>
      </c>
      <c r="B340" s="23" t="s">
        <v>61</v>
      </c>
      <c r="C340" s="59">
        <f aca="true" t="shared" si="86" ref="C340:O340">C253+C257+C57</f>
        <v>4145821.537152192</v>
      </c>
      <c r="D340" s="59">
        <f t="shared" si="86"/>
        <v>4098837.876110427</v>
      </c>
      <c r="E340" s="59">
        <f t="shared" si="86"/>
        <v>3977972.3403869355</v>
      </c>
      <c r="F340" s="59">
        <f t="shared" si="86"/>
        <v>3786454.643698757</v>
      </c>
      <c r="G340" s="59">
        <f t="shared" si="86"/>
        <v>3934092.1881797044</v>
      </c>
      <c r="H340" s="59">
        <f t="shared" si="86"/>
        <v>4024380.2738432656</v>
      </c>
      <c r="I340" s="59">
        <f t="shared" si="86"/>
        <v>4034517.568539302</v>
      </c>
      <c r="J340" s="59">
        <f t="shared" si="86"/>
        <v>3765593.8348063687</v>
      </c>
      <c r="K340" s="59">
        <f t="shared" si="86"/>
        <v>4024882.026626843</v>
      </c>
      <c r="L340" s="59">
        <f t="shared" si="86"/>
        <v>3313975.4400953227</v>
      </c>
      <c r="M340" s="59">
        <f t="shared" si="86"/>
        <v>3898929.0216176934</v>
      </c>
      <c r="N340" s="59">
        <f t="shared" si="86"/>
        <v>4086372.058298086</v>
      </c>
      <c r="O340" s="33">
        <f t="shared" si="86"/>
        <v>47091828.80935489</v>
      </c>
      <c r="P340" s="85">
        <f t="shared" si="85"/>
        <v>0</v>
      </c>
      <c r="Q340" s="86"/>
      <c r="R340" s="109">
        <v>47091829</v>
      </c>
      <c r="S340" s="211">
        <f>ROUND(O340-R340,0)</f>
        <v>0</v>
      </c>
    </row>
    <row r="341" spans="1:19" ht="11.25">
      <c r="A341" s="47" t="s">
        <v>16</v>
      </c>
      <c r="B341" s="23" t="s">
        <v>63</v>
      </c>
      <c r="C341" s="59">
        <f aca="true" t="shared" si="87" ref="C341:O341">C238+C241+C244+C247+C251+C254+C258+C52+C69+C70</f>
        <v>5237995.164792803</v>
      </c>
      <c r="D341" s="59">
        <f t="shared" si="87"/>
        <v>5207359.457116978</v>
      </c>
      <c r="E341" s="59">
        <f t="shared" si="87"/>
        <v>5035310.422561478</v>
      </c>
      <c r="F341" s="59">
        <f t="shared" si="87"/>
        <v>4045993.5935188835</v>
      </c>
      <c r="G341" s="59">
        <f t="shared" si="87"/>
        <v>3871660.856819806</v>
      </c>
      <c r="H341" s="59">
        <f t="shared" si="87"/>
        <v>4198856.334460258</v>
      </c>
      <c r="I341" s="59">
        <f t="shared" si="87"/>
        <v>2455770.028741196</v>
      </c>
      <c r="J341" s="59">
        <f t="shared" si="87"/>
        <v>2315274.074212958</v>
      </c>
      <c r="K341" s="59">
        <f t="shared" si="87"/>
        <v>2526671.429619856</v>
      </c>
      <c r="L341" s="59">
        <f t="shared" si="87"/>
        <v>2394116.7064943695</v>
      </c>
      <c r="M341" s="59">
        <f t="shared" si="87"/>
        <v>2775607.9080321174</v>
      </c>
      <c r="N341" s="59">
        <f t="shared" si="87"/>
        <v>2806746.1406649784</v>
      </c>
      <c r="O341" s="33">
        <f t="shared" si="87"/>
        <v>42871362.11703568</v>
      </c>
      <c r="P341" s="85">
        <f t="shared" si="85"/>
        <v>0</v>
      </c>
      <c r="Q341" s="86"/>
      <c r="R341" s="109">
        <v>42871362</v>
      </c>
      <c r="S341" s="211">
        <f>ROUND(O341-R341,0)</f>
        <v>0</v>
      </c>
    </row>
    <row r="342" spans="1:19" ht="11.25">
      <c r="A342" s="47" t="s">
        <v>13</v>
      </c>
      <c r="B342" s="23" t="s">
        <v>61</v>
      </c>
      <c r="C342" s="59">
        <f aca="true" t="shared" si="88" ref="C342:O342">C248+C255+C260+SUM(C89:C102)+SUM(C104:C106)</f>
        <v>47788335.41204984</v>
      </c>
      <c r="D342" s="59">
        <f t="shared" si="88"/>
        <v>45737432.20289411</v>
      </c>
      <c r="E342" s="59">
        <f t="shared" si="88"/>
        <v>33373472.12520929</v>
      </c>
      <c r="F342" s="59">
        <f t="shared" si="88"/>
        <v>34428164.15803211</v>
      </c>
      <c r="G342" s="59">
        <f t="shared" si="88"/>
        <v>30666557.515557893</v>
      </c>
      <c r="H342" s="59">
        <f t="shared" si="88"/>
        <v>39548412.47983834</v>
      </c>
      <c r="I342" s="59">
        <f t="shared" si="88"/>
        <v>46436256.266444795</v>
      </c>
      <c r="J342" s="59">
        <f t="shared" si="88"/>
        <v>46217607.40671664</v>
      </c>
      <c r="K342" s="59">
        <f t="shared" si="88"/>
        <v>52280826.40366945</v>
      </c>
      <c r="L342" s="59">
        <f t="shared" si="88"/>
        <v>56556350.88979343</v>
      </c>
      <c r="M342" s="59">
        <f t="shared" si="88"/>
        <v>49306495.82701702</v>
      </c>
      <c r="N342" s="59">
        <f t="shared" si="88"/>
        <v>45097220.34864846</v>
      </c>
      <c r="O342" s="33">
        <f t="shared" si="88"/>
        <v>527437131.0358713</v>
      </c>
      <c r="P342" s="85">
        <f t="shared" si="85"/>
        <v>0</v>
      </c>
      <c r="Q342" s="86"/>
      <c r="R342" s="109">
        <v>527437131</v>
      </c>
      <c r="S342" s="211">
        <f>ROUND(O342-R342,0)</f>
        <v>0</v>
      </c>
    </row>
    <row r="343" spans="1:19" ht="11.25">
      <c r="A343" s="47" t="s">
        <v>17</v>
      </c>
      <c r="B343" s="23" t="s">
        <v>63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103">
        <v>0</v>
      </c>
      <c r="P343" s="85">
        <f t="shared" si="85"/>
        <v>0</v>
      </c>
      <c r="Q343" s="86"/>
      <c r="R343" s="103"/>
      <c r="S343" s="212"/>
    </row>
    <row r="344" spans="1:19" ht="11.25">
      <c r="A344" s="47" t="s">
        <v>3</v>
      </c>
      <c r="B344" s="23" t="s">
        <v>61</v>
      </c>
      <c r="C344" s="59">
        <f aca="true" t="shared" si="89" ref="C344:N344">C78</f>
        <v>0</v>
      </c>
      <c r="D344" s="59">
        <f t="shared" si="89"/>
        <v>0</v>
      </c>
      <c r="E344" s="59">
        <f t="shared" si="89"/>
        <v>0</v>
      </c>
      <c r="F344" s="59">
        <f t="shared" si="89"/>
        <v>0</v>
      </c>
      <c r="G344" s="59">
        <f t="shared" si="89"/>
        <v>0</v>
      </c>
      <c r="H344" s="59">
        <f t="shared" si="89"/>
        <v>0</v>
      </c>
      <c r="I344" s="59">
        <f t="shared" si="89"/>
        <v>0</v>
      </c>
      <c r="J344" s="59">
        <f t="shared" si="89"/>
        <v>0</v>
      </c>
      <c r="K344" s="59">
        <f t="shared" si="89"/>
        <v>0</v>
      </c>
      <c r="L344" s="59">
        <f t="shared" si="89"/>
        <v>0</v>
      </c>
      <c r="M344" s="59">
        <f t="shared" si="89"/>
        <v>0</v>
      </c>
      <c r="N344" s="59">
        <f t="shared" si="89"/>
        <v>0</v>
      </c>
      <c r="O344" s="33">
        <f>O78</f>
        <v>0</v>
      </c>
      <c r="P344" s="85">
        <f t="shared" si="85"/>
        <v>0</v>
      </c>
      <c r="Q344" s="86"/>
      <c r="R344" s="33"/>
      <c r="S344" s="212"/>
    </row>
    <row r="345" spans="1:19" ht="11.25">
      <c r="A345" s="47" t="s">
        <v>88</v>
      </c>
      <c r="B345" s="23" t="s">
        <v>61</v>
      </c>
      <c r="C345" s="59">
        <f aca="true" t="shared" si="90" ref="C345:N345">C201</f>
        <v>260040.52115123035</v>
      </c>
      <c r="D345" s="59">
        <f t="shared" si="90"/>
        <v>260353.62973962713</v>
      </c>
      <c r="E345" s="59">
        <f t="shared" si="90"/>
        <v>273734.621364744</v>
      </c>
      <c r="F345" s="59">
        <f t="shared" si="90"/>
        <v>326812.249262088</v>
      </c>
      <c r="G345" s="59">
        <f t="shared" si="90"/>
        <v>385351.5655572479</v>
      </c>
      <c r="H345" s="59">
        <f t="shared" si="90"/>
        <v>415489.4347215744</v>
      </c>
      <c r="I345" s="59">
        <f t="shared" si="90"/>
        <v>426636.2584322299</v>
      </c>
      <c r="J345" s="59">
        <f t="shared" si="90"/>
        <v>350486.44199498993</v>
      </c>
      <c r="K345" s="59">
        <f t="shared" si="90"/>
        <v>388453.405210696</v>
      </c>
      <c r="L345" s="59">
        <f t="shared" si="90"/>
        <v>318217.01673770393</v>
      </c>
      <c r="M345" s="59">
        <f t="shared" si="90"/>
        <v>305701.921274498</v>
      </c>
      <c r="N345" s="59">
        <f t="shared" si="90"/>
        <v>280084.598317538</v>
      </c>
      <c r="O345" s="33">
        <f>O201</f>
        <v>3991361.663764167</v>
      </c>
      <c r="P345" s="85">
        <f t="shared" si="85"/>
        <v>0</v>
      </c>
      <c r="Q345" s="86"/>
      <c r="R345" s="109">
        <v>3991362</v>
      </c>
      <c r="S345" s="211">
        <f>ROUND(O345-R345,0)</f>
        <v>0</v>
      </c>
    </row>
    <row r="346" spans="1:19" ht="11.25">
      <c r="A346" s="48" t="s">
        <v>4</v>
      </c>
      <c r="B346" s="27" t="s">
        <v>83</v>
      </c>
      <c r="C346" s="77">
        <v>0</v>
      </c>
      <c r="D346" s="77">
        <v>0</v>
      </c>
      <c r="E346" s="77">
        <v>0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101">
        <v>0</v>
      </c>
      <c r="P346" s="85">
        <f t="shared" si="85"/>
        <v>0</v>
      </c>
      <c r="Q346" s="86"/>
      <c r="R346" s="101"/>
      <c r="S346" s="212"/>
    </row>
    <row r="347" spans="1:19" ht="11.25">
      <c r="A347" s="100" t="s">
        <v>233</v>
      </c>
      <c r="B347" s="99"/>
      <c r="C347" s="78">
        <f aca="true" t="shared" si="91" ref="C347:N347">SUM(C339:C346)</f>
        <v>63393566.652966015</v>
      </c>
      <c r="D347" s="78">
        <f t="shared" si="91"/>
        <v>61220934.489593</v>
      </c>
      <c r="E347" s="78">
        <f t="shared" si="91"/>
        <v>43702840.06985647</v>
      </c>
      <c r="F347" s="78">
        <f t="shared" si="91"/>
        <v>43300846.346839495</v>
      </c>
      <c r="G347" s="78">
        <f t="shared" si="91"/>
        <v>39439390.48729291</v>
      </c>
      <c r="H347" s="78">
        <f t="shared" si="91"/>
        <v>48828113.68760193</v>
      </c>
      <c r="I347" s="78">
        <f t="shared" si="91"/>
        <v>53663294.66227448</v>
      </c>
      <c r="J347" s="78">
        <f t="shared" si="91"/>
        <v>52940564.902956896</v>
      </c>
      <c r="K347" s="78">
        <f t="shared" si="91"/>
        <v>59561144.27620897</v>
      </c>
      <c r="L347" s="78">
        <f t="shared" si="91"/>
        <v>62973253.72846391</v>
      </c>
      <c r="M347" s="78">
        <f t="shared" si="91"/>
        <v>56725881.35330071</v>
      </c>
      <c r="N347" s="78">
        <f t="shared" si="91"/>
        <v>52691988.39987839</v>
      </c>
      <c r="O347" s="39">
        <f>SUM(O339:O346)</f>
        <v>638441819.0572331</v>
      </c>
      <c r="P347" s="85">
        <f t="shared" si="85"/>
        <v>0</v>
      </c>
      <c r="R347" s="39">
        <f>SUM(R339:R346)</f>
        <v>638441819</v>
      </c>
      <c r="S347" s="213">
        <f>ROUND(O347-R347,0)</f>
        <v>0</v>
      </c>
    </row>
    <row r="348" spans="1:19" ht="11.25">
      <c r="A348" s="4"/>
      <c r="B348" s="11"/>
      <c r="O348" s="33"/>
      <c r="R348" s="33"/>
      <c r="S348" s="212"/>
    </row>
    <row r="349" spans="1:19" ht="11.25">
      <c r="A349" s="107" t="s">
        <v>18</v>
      </c>
      <c r="B349" s="23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33"/>
      <c r="P349" s="85"/>
      <c r="R349" s="33"/>
      <c r="S349" s="212"/>
    </row>
    <row r="350" spans="1:19" ht="11.25">
      <c r="A350" s="47" t="s">
        <v>11</v>
      </c>
      <c r="B350" s="23" t="s">
        <v>61</v>
      </c>
      <c r="C350" s="194">
        <f aca="true" t="shared" si="92" ref="C350:O350">C317</f>
        <v>2230634.2446042513</v>
      </c>
      <c r="D350" s="59">
        <f t="shared" si="92"/>
        <v>2234487.2246042513</v>
      </c>
      <c r="E350" s="59">
        <f t="shared" si="92"/>
        <v>2233535.9946042513</v>
      </c>
      <c r="F350" s="59">
        <f t="shared" si="92"/>
        <v>2247525.544604251</v>
      </c>
      <c r="G350" s="59">
        <f t="shared" si="92"/>
        <v>2238880.584604251</v>
      </c>
      <c r="H350" s="59">
        <f t="shared" si="92"/>
        <v>2302774.334604251</v>
      </c>
      <c r="I350" s="59">
        <f t="shared" si="92"/>
        <v>2274857.924604251</v>
      </c>
      <c r="J350" s="59">
        <f t="shared" si="92"/>
        <v>2265299.014604251</v>
      </c>
      <c r="K350" s="59">
        <f t="shared" si="92"/>
        <v>2277176.9946042513</v>
      </c>
      <c r="L350" s="59">
        <f t="shared" si="92"/>
        <v>2253027.544604251</v>
      </c>
      <c r="M350" s="59">
        <f t="shared" si="92"/>
        <v>2241285.8246042514</v>
      </c>
      <c r="N350" s="59">
        <f t="shared" si="92"/>
        <v>2234873.724604251</v>
      </c>
      <c r="O350" s="33">
        <f t="shared" si="92"/>
        <v>27034358.955251016</v>
      </c>
      <c r="P350" s="85">
        <f t="shared" si="85"/>
        <v>0</v>
      </c>
      <c r="R350" s="109">
        <v>27034359</v>
      </c>
      <c r="S350" s="211">
        <f>ROUND(O350-R350,0)</f>
        <v>0</v>
      </c>
    </row>
    <row r="351" spans="1:19" ht="11.25">
      <c r="A351" s="47" t="s">
        <v>12</v>
      </c>
      <c r="B351" s="23" t="s">
        <v>61</v>
      </c>
      <c r="C351" s="194">
        <f aca="true" t="shared" si="93" ref="C351:O351">C318</f>
        <v>0</v>
      </c>
      <c r="D351" s="59">
        <f t="shared" si="93"/>
        <v>0</v>
      </c>
      <c r="E351" s="59">
        <f t="shared" si="93"/>
        <v>0</v>
      </c>
      <c r="F351" s="59">
        <f t="shared" si="93"/>
        <v>0</v>
      </c>
      <c r="G351" s="59">
        <f t="shared" si="93"/>
        <v>0</v>
      </c>
      <c r="H351" s="59">
        <f t="shared" si="93"/>
        <v>0</v>
      </c>
      <c r="I351" s="59">
        <f t="shared" si="93"/>
        <v>0</v>
      </c>
      <c r="J351" s="59">
        <f t="shared" si="93"/>
        <v>0</v>
      </c>
      <c r="K351" s="59">
        <f t="shared" si="93"/>
        <v>0</v>
      </c>
      <c r="L351" s="59">
        <f t="shared" si="93"/>
        <v>0</v>
      </c>
      <c r="M351" s="59">
        <f t="shared" si="93"/>
        <v>0</v>
      </c>
      <c r="N351" s="59">
        <f t="shared" si="93"/>
        <v>0</v>
      </c>
      <c r="O351" s="33">
        <f t="shared" si="93"/>
        <v>0</v>
      </c>
      <c r="P351" s="85">
        <f t="shared" si="85"/>
        <v>0</v>
      </c>
      <c r="R351" s="33"/>
      <c r="S351" s="211">
        <f>ROUND(O351-R351,0)</f>
        <v>0</v>
      </c>
    </row>
    <row r="352" spans="1:19" ht="11.25">
      <c r="A352" s="47" t="s">
        <v>13</v>
      </c>
      <c r="B352" s="23" t="s">
        <v>61</v>
      </c>
      <c r="C352" s="194">
        <f aca="true" t="shared" si="94" ref="C352:O352">C319+C321-C323</f>
        <v>8671672.07539575</v>
      </c>
      <c r="D352" s="59">
        <f t="shared" si="94"/>
        <v>8666620.885395749</v>
      </c>
      <c r="E352" s="59">
        <f t="shared" si="94"/>
        <v>8507151.93539575</v>
      </c>
      <c r="F352" s="59">
        <f t="shared" si="94"/>
        <v>8593522.825395748</v>
      </c>
      <c r="G352" s="59">
        <f t="shared" si="94"/>
        <v>9142075.16539575</v>
      </c>
      <c r="H352" s="59">
        <f t="shared" si="94"/>
        <v>9746232.655395748</v>
      </c>
      <c r="I352" s="59">
        <f t="shared" si="94"/>
        <v>9149738.545395749</v>
      </c>
      <c r="J352" s="59">
        <f t="shared" si="94"/>
        <v>9202186.94539575</v>
      </c>
      <c r="K352" s="59">
        <f t="shared" si="94"/>
        <v>9016564.435395751</v>
      </c>
      <c r="L352" s="59">
        <f t="shared" si="94"/>
        <v>9173152.605395747</v>
      </c>
      <c r="M352" s="59">
        <f t="shared" si="94"/>
        <v>8635586.97539575</v>
      </c>
      <c r="N352" s="59">
        <f t="shared" si="94"/>
        <v>8671705.77539575</v>
      </c>
      <c r="O352" s="33">
        <f t="shared" si="94"/>
        <v>107176210.82474901</v>
      </c>
      <c r="P352" s="85">
        <f t="shared" si="85"/>
        <v>0</v>
      </c>
      <c r="R352" s="109">
        <v>107176211</v>
      </c>
      <c r="S352" s="211">
        <f>ROUND(O352-R352,0)</f>
        <v>0</v>
      </c>
    </row>
    <row r="353" spans="1:19" ht="11.25">
      <c r="A353" s="48" t="s">
        <v>0</v>
      </c>
      <c r="B353" s="27" t="s">
        <v>63</v>
      </c>
      <c r="C353" s="196">
        <f aca="true" t="shared" si="95" ref="C353:O353">C320</f>
        <v>91315.05499999996</v>
      </c>
      <c r="D353" s="77">
        <f t="shared" si="95"/>
        <v>288756.19200000004</v>
      </c>
      <c r="E353" s="77">
        <f t="shared" si="95"/>
        <v>777797.4730000001</v>
      </c>
      <c r="F353" s="77">
        <f t="shared" si="95"/>
        <v>331324.236</v>
      </c>
      <c r="G353" s="77">
        <f t="shared" si="95"/>
        <v>183654.105</v>
      </c>
      <c r="H353" s="77">
        <f t="shared" si="95"/>
        <v>386252.319</v>
      </c>
      <c r="I353" s="77">
        <f t="shared" si="95"/>
        <v>500493.076</v>
      </c>
      <c r="J353" s="77">
        <f t="shared" si="95"/>
        <v>358711.43000000005</v>
      </c>
      <c r="K353" s="77">
        <f t="shared" si="95"/>
        <v>532729.5869999999</v>
      </c>
      <c r="L353" s="77">
        <f t="shared" si="95"/>
        <v>359803.46499999997</v>
      </c>
      <c r="M353" s="77">
        <f t="shared" si="95"/>
        <v>263891.561</v>
      </c>
      <c r="N353" s="77">
        <f t="shared" si="95"/>
        <v>435596.973</v>
      </c>
      <c r="O353" s="104">
        <f t="shared" si="95"/>
        <v>4510325.472</v>
      </c>
      <c r="P353" s="85">
        <f t="shared" si="85"/>
        <v>0</v>
      </c>
      <c r="R353" s="153">
        <v>4510325</v>
      </c>
      <c r="S353" s="211">
        <f>ROUND(O353-R353,0)</f>
        <v>0</v>
      </c>
    </row>
    <row r="354" spans="1:19" ht="11.25">
      <c r="A354" s="100" t="s">
        <v>234</v>
      </c>
      <c r="B354" s="99"/>
      <c r="C354" s="197">
        <f aca="true" t="shared" si="96" ref="C354:N354">SUM(C350:C353)</f>
        <v>10993621.375</v>
      </c>
      <c r="D354" s="78">
        <f t="shared" si="96"/>
        <v>11189864.302</v>
      </c>
      <c r="E354" s="78">
        <f t="shared" si="96"/>
        <v>11518485.402999999</v>
      </c>
      <c r="F354" s="78">
        <f t="shared" si="96"/>
        <v>11172372.605999999</v>
      </c>
      <c r="G354" s="78">
        <f t="shared" si="96"/>
        <v>11564609.855</v>
      </c>
      <c r="H354" s="78">
        <f t="shared" si="96"/>
        <v>12435259.308999998</v>
      </c>
      <c r="I354" s="78">
        <f t="shared" si="96"/>
        <v>11925089.545999998</v>
      </c>
      <c r="J354" s="78">
        <f t="shared" si="96"/>
        <v>11826197.39</v>
      </c>
      <c r="K354" s="78">
        <f t="shared" si="96"/>
        <v>11826471.017000003</v>
      </c>
      <c r="L354" s="78">
        <f t="shared" si="96"/>
        <v>11785983.614999998</v>
      </c>
      <c r="M354" s="78">
        <f t="shared" si="96"/>
        <v>11140764.361000001</v>
      </c>
      <c r="N354" s="78">
        <f t="shared" si="96"/>
        <v>11342176.473</v>
      </c>
      <c r="O354" s="39">
        <f>SUM(O350:O353)</f>
        <v>138720895.25200003</v>
      </c>
      <c r="P354" s="85">
        <f t="shared" si="85"/>
        <v>0</v>
      </c>
      <c r="R354" s="39">
        <f>SUM(R350:R353)</f>
        <v>138720895</v>
      </c>
      <c r="S354" s="213">
        <f>ROUND(O354-R354,0)</f>
        <v>0</v>
      </c>
    </row>
    <row r="355" spans="1:19" ht="11.25">
      <c r="A355" s="4"/>
      <c r="B355" s="11"/>
      <c r="C355" s="198"/>
      <c r="O355" s="33"/>
      <c r="R355" s="33"/>
      <c r="S355" s="212"/>
    </row>
    <row r="356" spans="1:19" ht="11.25">
      <c r="A356" s="107" t="s">
        <v>10</v>
      </c>
      <c r="B356" s="23"/>
      <c r="C356" s="129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33"/>
      <c r="R356" s="33"/>
      <c r="S356" s="212"/>
    </row>
    <row r="357" spans="1:19" ht="11.25">
      <c r="A357" s="47" t="s">
        <v>19</v>
      </c>
      <c r="B357" s="23" t="s">
        <v>63</v>
      </c>
      <c r="C357" s="59">
        <f>C279+SUM(C281:C289)</f>
        <v>58662774.02044397</v>
      </c>
      <c r="D357" s="59">
        <f aca="true" t="shared" si="97" ref="D357:N357">D279+SUM(D281:D289)</f>
        <v>60693638.12613873</v>
      </c>
      <c r="E357" s="59">
        <f t="shared" si="97"/>
        <v>57907127.120948054</v>
      </c>
      <c r="F357" s="59">
        <f t="shared" si="97"/>
        <v>58830849.79484359</v>
      </c>
      <c r="G357" s="59">
        <f t="shared" si="97"/>
        <v>57489267.0569669</v>
      </c>
      <c r="H357" s="59">
        <f t="shared" si="97"/>
        <v>59138986.194578245</v>
      </c>
      <c r="I357" s="59">
        <f t="shared" si="97"/>
        <v>58608214.44648351</v>
      </c>
      <c r="J357" s="59">
        <f t="shared" si="97"/>
        <v>55608620.29082359</v>
      </c>
      <c r="K357" s="59">
        <f t="shared" si="97"/>
        <v>55398621.09027768</v>
      </c>
      <c r="L357" s="59">
        <f t="shared" si="97"/>
        <v>48350763.93304625</v>
      </c>
      <c r="M357" s="59">
        <f t="shared" si="97"/>
        <v>52827193.79337656</v>
      </c>
      <c r="N357" s="59">
        <f t="shared" si="97"/>
        <v>53947183.38329475</v>
      </c>
      <c r="O357" s="33">
        <f>O279+SUM(O281:O289)</f>
        <v>677463239.2512218</v>
      </c>
      <c r="P357" s="85">
        <f aca="true" t="shared" si="98" ref="P357:P364">SUM(C357:N357)-O357</f>
        <v>0</v>
      </c>
      <c r="R357" s="109">
        <v>677463239</v>
      </c>
      <c r="S357" s="211">
        <f aca="true" t="shared" si="99" ref="S357:S362">ROUND(O357-R357,0)</f>
        <v>0</v>
      </c>
    </row>
    <row r="358" spans="1:19" ht="11.25">
      <c r="A358" s="47" t="s">
        <v>20</v>
      </c>
      <c r="B358" s="23" t="s">
        <v>63</v>
      </c>
      <c r="C358" s="59">
        <f>C308</f>
        <v>3153178.705539461</v>
      </c>
      <c r="D358" s="59">
        <f aca="true" t="shared" si="100" ref="D358:O358">D308</f>
        <v>3040131.4848048314</v>
      </c>
      <c r="E358" s="59">
        <f t="shared" si="100"/>
        <v>244735.57732211344</v>
      </c>
      <c r="F358" s="59">
        <f t="shared" si="100"/>
        <v>0</v>
      </c>
      <c r="G358" s="59">
        <f t="shared" si="100"/>
        <v>0</v>
      </c>
      <c r="H358" s="59">
        <f t="shared" si="100"/>
        <v>0</v>
      </c>
      <c r="I358" s="59">
        <f t="shared" si="100"/>
        <v>0</v>
      </c>
      <c r="J358" s="59">
        <f t="shared" si="100"/>
        <v>0</v>
      </c>
      <c r="K358" s="59">
        <f t="shared" si="100"/>
        <v>0</v>
      </c>
      <c r="L358" s="59">
        <f t="shared" si="100"/>
        <v>0</v>
      </c>
      <c r="M358" s="59">
        <f t="shared" si="100"/>
        <v>0</v>
      </c>
      <c r="N358" s="59">
        <f t="shared" si="100"/>
        <v>993880.2413467322</v>
      </c>
      <c r="O358" s="33">
        <f t="shared" si="100"/>
        <v>7431926.009013139</v>
      </c>
      <c r="P358" s="85">
        <f t="shared" si="98"/>
        <v>0</v>
      </c>
      <c r="R358" s="109">
        <v>7431926</v>
      </c>
      <c r="S358" s="211">
        <f t="shared" si="99"/>
        <v>0</v>
      </c>
    </row>
    <row r="359" spans="1:19" ht="11.25">
      <c r="A359" s="47" t="s">
        <v>21</v>
      </c>
      <c r="B359" s="23" t="s">
        <v>63</v>
      </c>
      <c r="C359" s="59">
        <f aca="true" t="shared" si="101" ref="C359:N359">C200</f>
        <v>306096.54768</v>
      </c>
      <c r="D359" s="59">
        <f t="shared" si="101"/>
        <v>305955.47472</v>
      </c>
      <c r="E359" s="59">
        <f t="shared" si="101"/>
        <v>305655.8688</v>
      </c>
      <c r="F359" s="59">
        <f t="shared" si="101"/>
        <v>325844.68416</v>
      </c>
      <c r="G359" s="59">
        <f t="shared" si="101"/>
        <v>324759.35856</v>
      </c>
      <c r="H359" s="59">
        <f t="shared" si="101"/>
        <v>335641.40376</v>
      </c>
      <c r="I359" s="59">
        <f t="shared" si="101"/>
        <v>335641.40376</v>
      </c>
      <c r="J359" s="59">
        <f t="shared" si="101"/>
        <v>313954.67688</v>
      </c>
      <c r="K359" s="59">
        <f t="shared" si="101"/>
        <v>335641.40376</v>
      </c>
      <c r="L359" s="59">
        <f t="shared" si="101"/>
        <v>168165.79056</v>
      </c>
      <c r="M359" s="59">
        <f t="shared" si="101"/>
        <v>315824.9808</v>
      </c>
      <c r="N359" s="59">
        <f t="shared" si="101"/>
        <v>296174.68272</v>
      </c>
      <c r="O359" s="33">
        <f>O200</f>
        <v>3669356.2761600004</v>
      </c>
      <c r="P359" s="85">
        <f t="shared" si="98"/>
        <v>0</v>
      </c>
      <c r="R359" s="109">
        <v>3669356</v>
      </c>
      <c r="S359" s="211">
        <f t="shared" si="99"/>
        <v>0</v>
      </c>
    </row>
    <row r="360" spans="1:19" ht="11.25">
      <c r="A360" s="47" t="s">
        <v>5</v>
      </c>
      <c r="B360" s="23" t="s">
        <v>63</v>
      </c>
      <c r="C360" s="59">
        <f>SUM(C306:C307)+SUM(C310:C312)</f>
        <v>30127871.99521356</v>
      </c>
      <c r="D360" s="59">
        <f aca="true" t="shared" si="102" ref="D360:O360">SUM(D306:D307)+SUM(D310:D312)</f>
        <v>46717120.25821816</v>
      </c>
      <c r="E360" s="59">
        <f t="shared" si="102"/>
        <v>44816958.700444184</v>
      </c>
      <c r="F360" s="59">
        <f t="shared" si="102"/>
        <v>40414881.41598636</v>
      </c>
      <c r="G360" s="59">
        <f t="shared" si="102"/>
        <v>44756269.12125081</v>
      </c>
      <c r="H360" s="59">
        <f t="shared" si="102"/>
        <v>51994664.07829041</v>
      </c>
      <c r="I360" s="59">
        <f t="shared" si="102"/>
        <v>42681164.25145659</v>
      </c>
      <c r="J360" s="59">
        <f t="shared" si="102"/>
        <v>31796718.532148488</v>
      </c>
      <c r="K360" s="59">
        <f t="shared" si="102"/>
        <v>28964307.69413942</v>
      </c>
      <c r="L360" s="59">
        <f t="shared" si="102"/>
        <v>22713368.159074064</v>
      </c>
      <c r="M360" s="59">
        <f t="shared" si="102"/>
        <v>26171451.426653896</v>
      </c>
      <c r="N360" s="59">
        <f t="shared" si="102"/>
        <v>26486766.5883755</v>
      </c>
      <c r="O360" s="33">
        <f t="shared" si="102"/>
        <v>437641542.2212515</v>
      </c>
      <c r="P360" s="85">
        <f t="shared" si="98"/>
        <v>0</v>
      </c>
      <c r="R360" s="109">
        <v>437641542</v>
      </c>
      <c r="S360" s="211">
        <f t="shared" si="99"/>
        <v>0</v>
      </c>
    </row>
    <row r="361" spans="1:19" ht="11.25">
      <c r="A361" s="47" t="s">
        <v>6</v>
      </c>
      <c r="B361" s="23" t="s">
        <v>63</v>
      </c>
      <c r="C361" s="59">
        <f>C309</f>
        <v>3144243.4890327053</v>
      </c>
      <c r="D361" s="59">
        <f aca="true" t="shared" si="103" ref="D361:O361">D309</f>
        <v>3066797.122824406</v>
      </c>
      <c r="E361" s="59">
        <f t="shared" si="103"/>
        <v>3144914.2298989594</v>
      </c>
      <c r="F361" s="59">
        <f t="shared" si="103"/>
        <v>2943088.64740716</v>
      </c>
      <c r="G361" s="59">
        <f t="shared" si="103"/>
        <v>3014978.311787312</v>
      </c>
      <c r="H361" s="59">
        <f t="shared" si="103"/>
        <v>3191348.765978072</v>
      </c>
      <c r="I361" s="59">
        <f t="shared" si="103"/>
        <v>3161521.187092651</v>
      </c>
      <c r="J361" s="59">
        <f t="shared" si="103"/>
        <v>2831330.0600651065</v>
      </c>
      <c r="K361" s="59">
        <f t="shared" si="103"/>
        <v>2988003.844423804</v>
      </c>
      <c r="L361" s="59">
        <f t="shared" si="103"/>
        <v>3302916.9742901484</v>
      </c>
      <c r="M361" s="59">
        <f t="shared" si="103"/>
        <v>3890667.748814837</v>
      </c>
      <c r="N361" s="59">
        <f t="shared" si="103"/>
        <v>3674824.3881474975</v>
      </c>
      <c r="O361" s="33">
        <f t="shared" si="103"/>
        <v>38354634.76976266</v>
      </c>
      <c r="P361" s="85">
        <f t="shared" si="98"/>
        <v>0</v>
      </c>
      <c r="R361" s="109">
        <v>38354635</v>
      </c>
      <c r="S361" s="211">
        <f t="shared" si="99"/>
        <v>0</v>
      </c>
    </row>
    <row r="362" spans="1:19" ht="11.25">
      <c r="A362" s="47" t="s">
        <v>7</v>
      </c>
      <c r="B362" s="23" t="s">
        <v>63</v>
      </c>
      <c r="C362" s="59">
        <f>C280</f>
        <v>4980229.350084232</v>
      </c>
      <c r="D362" s="59">
        <f aca="true" t="shared" si="104" ref="D362:O362">D280</f>
        <v>5038850.433960587</v>
      </c>
      <c r="E362" s="59">
        <f t="shared" si="104"/>
        <v>4851465.761788623</v>
      </c>
      <c r="F362" s="59">
        <f t="shared" si="104"/>
        <v>4975230.51580941</v>
      </c>
      <c r="G362" s="59">
        <f t="shared" si="104"/>
        <v>4820025.195853364</v>
      </c>
      <c r="H362" s="59">
        <f t="shared" si="104"/>
        <v>4978081.1604545675</v>
      </c>
      <c r="I362" s="59">
        <f t="shared" si="104"/>
        <v>4977825.5329585</v>
      </c>
      <c r="J362" s="59">
        <f t="shared" si="104"/>
        <v>4655943.389189223</v>
      </c>
      <c r="K362" s="59">
        <f t="shared" si="104"/>
        <v>4980099.611200731</v>
      </c>
      <c r="L362" s="59">
        <f t="shared" si="104"/>
        <v>4732219.945598034</v>
      </c>
      <c r="M362" s="59">
        <f t="shared" si="104"/>
        <v>2515009.905957871</v>
      </c>
      <c r="N362" s="59">
        <f t="shared" si="104"/>
        <v>4717965.741680412</v>
      </c>
      <c r="O362" s="33">
        <f t="shared" si="104"/>
        <v>56222946.544535555</v>
      </c>
      <c r="P362" s="85">
        <f t="shared" si="98"/>
        <v>0</v>
      </c>
      <c r="R362" s="109">
        <v>56222947</v>
      </c>
      <c r="S362" s="211">
        <f t="shared" si="99"/>
        <v>0</v>
      </c>
    </row>
    <row r="363" spans="1:19" ht="11.25">
      <c r="A363" s="48" t="s">
        <v>8</v>
      </c>
      <c r="B363" s="27" t="s">
        <v>63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101">
        <v>0</v>
      </c>
      <c r="P363" s="85">
        <f t="shared" si="98"/>
        <v>0</v>
      </c>
      <c r="R363" s="101">
        <v>0</v>
      </c>
      <c r="S363" s="212"/>
    </row>
    <row r="364" spans="1:19" ht="11.25">
      <c r="A364" s="100" t="s">
        <v>22</v>
      </c>
      <c r="B364" s="34"/>
      <c r="C364" s="78">
        <f aca="true" t="shared" si="105" ref="C364:N364">SUM(C357:C363)</f>
        <v>100374394.10799392</v>
      </c>
      <c r="D364" s="78">
        <f t="shared" si="105"/>
        <v>118862492.90066671</v>
      </c>
      <c r="E364" s="78">
        <f t="shared" si="105"/>
        <v>111270857.25920193</v>
      </c>
      <c r="F364" s="78">
        <f t="shared" si="105"/>
        <v>107489895.05820653</v>
      </c>
      <c r="G364" s="78">
        <f t="shared" si="105"/>
        <v>110405299.04441838</v>
      </c>
      <c r="H364" s="78">
        <f t="shared" si="105"/>
        <v>119638721.60306129</v>
      </c>
      <c r="I364" s="78">
        <f t="shared" si="105"/>
        <v>109764366.82175124</v>
      </c>
      <c r="J364" s="78">
        <f t="shared" si="105"/>
        <v>95206566.94910641</v>
      </c>
      <c r="K364" s="78">
        <f t="shared" si="105"/>
        <v>92666673.64380164</v>
      </c>
      <c r="L364" s="78">
        <f t="shared" si="105"/>
        <v>79267434.8025685</v>
      </c>
      <c r="M364" s="78">
        <f t="shared" si="105"/>
        <v>85720147.85560317</v>
      </c>
      <c r="N364" s="78">
        <f t="shared" si="105"/>
        <v>90116795.0255649</v>
      </c>
      <c r="O364" s="39">
        <f>SUM(O357:O363)</f>
        <v>1220783645.071945</v>
      </c>
      <c r="P364" s="85">
        <f t="shared" si="98"/>
        <v>0</v>
      </c>
      <c r="R364" s="39">
        <f>SUM(R357:R363)</f>
        <v>1220783645</v>
      </c>
      <c r="S364" s="213">
        <f>ROUND(O364-R364,0)</f>
        <v>0</v>
      </c>
    </row>
    <row r="365" spans="1:19" ht="11.25">
      <c r="A365" s="4"/>
      <c r="O365" s="33"/>
      <c r="R365" s="33"/>
      <c r="S365" s="212"/>
    </row>
    <row r="366" spans="1:19" ht="11.25">
      <c r="A366" s="9" t="s">
        <v>9</v>
      </c>
      <c r="B366" s="34"/>
      <c r="C366" s="68">
        <f aca="true" t="shared" si="106" ref="C366:N366">-C336+C347+C354+C364</f>
        <v>140131690.29275993</v>
      </c>
      <c r="D366" s="68">
        <f t="shared" si="106"/>
        <v>151458071.99305972</v>
      </c>
      <c r="E366" s="68">
        <f t="shared" si="106"/>
        <v>126184995.6845584</v>
      </c>
      <c r="F366" s="68">
        <f t="shared" si="106"/>
        <v>114016576.01484603</v>
      </c>
      <c r="G366" s="68">
        <f t="shared" si="106"/>
        <v>113851506.6592113</v>
      </c>
      <c r="H366" s="68">
        <f t="shared" si="106"/>
        <v>124881814.48346321</v>
      </c>
      <c r="I366" s="68">
        <f t="shared" si="106"/>
        <v>128942811.7738257</v>
      </c>
      <c r="J366" s="68">
        <f t="shared" si="106"/>
        <v>118627509.8608633</v>
      </c>
      <c r="K366" s="68">
        <f t="shared" si="106"/>
        <v>121455887.84781063</v>
      </c>
      <c r="L366" s="68">
        <f t="shared" si="106"/>
        <v>120311084.36353241</v>
      </c>
      <c r="M366" s="68">
        <f t="shared" si="106"/>
        <v>125880766.45770389</v>
      </c>
      <c r="N366" s="68">
        <f t="shared" si="106"/>
        <v>122703054.56794329</v>
      </c>
      <c r="O366" s="105">
        <f>-O336+O347+O354+O364</f>
        <v>1508445769.999578</v>
      </c>
      <c r="P366" s="85">
        <f>SUM(C366:N366)-O366</f>
        <v>0</v>
      </c>
      <c r="R366" s="105">
        <f>-R336+R347+R354+R364</f>
        <v>1508445770</v>
      </c>
      <c r="S366" s="213">
        <f>ROUND(O366-R366,0)</f>
        <v>0</v>
      </c>
    </row>
    <row r="367" spans="1:14" ht="11.25">
      <c r="A367" s="209" t="s">
        <v>310</v>
      </c>
      <c r="C367" s="208">
        <v>140131690.29275995</v>
      </c>
      <c r="D367" s="208">
        <v>151458071.99305972</v>
      </c>
      <c r="E367" s="208">
        <v>126184995.68455839</v>
      </c>
      <c r="F367" s="208">
        <v>114016576.014846</v>
      </c>
      <c r="G367" s="208">
        <v>113851506.6592113</v>
      </c>
      <c r="H367" s="208">
        <v>124881814.48346323</v>
      </c>
      <c r="I367" s="208">
        <v>128942811.7738257</v>
      </c>
      <c r="J367" s="208">
        <v>118627509.86086328</v>
      </c>
      <c r="K367" s="208">
        <v>121455887.84781063</v>
      </c>
      <c r="L367" s="208">
        <v>120311084.36353241</v>
      </c>
      <c r="M367" s="208">
        <v>125880766.45770386</v>
      </c>
      <c r="N367" s="208">
        <v>122703054.56794327</v>
      </c>
    </row>
    <row r="368" spans="1:14" ht="11.25">
      <c r="A368" s="49" t="s">
        <v>309</v>
      </c>
      <c r="C368" s="192">
        <f aca="true" t="shared" si="107" ref="C368:N368">C366-C367</f>
        <v>0</v>
      </c>
      <c r="D368" s="192">
        <f t="shared" si="107"/>
        <v>0</v>
      </c>
      <c r="E368" s="192">
        <f t="shared" si="107"/>
        <v>0</v>
      </c>
      <c r="F368" s="192">
        <f t="shared" si="107"/>
        <v>0</v>
      </c>
      <c r="G368" s="192">
        <f t="shared" si="107"/>
        <v>0</v>
      </c>
      <c r="H368" s="192">
        <f t="shared" si="107"/>
        <v>0</v>
      </c>
      <c r="I368" s="192">
        <f t="shared" si="107"/>
        <v>0</v>
      </c>
      <c r="J368" s="192">
        <f t="shared" si="107"/>
        <v>0</v>
      </c>
      <c r="K368" s="192">
        <f t="shared" si="107"/>
        <v>0</v>
      </c>
      <c r="L368" s="192">
        <f t="shared" si="107"/>
        <v>0</v>
      </c>
      <c r="M368" s="192">
        <f t="shared" si="107"/>
        <v>0</v>
      </c>
      <c r="N368" s="192">
        <f t="shared" si="107"/>
        <v>0</v>
      </c>
    </row>
    <row r="369" spans="1:14" ht="11.25">
      <c r="A369" s="49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</row>
    <row r="370" spans="1:14" ht="11.25">
      <c r="A370" s="49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</row>
    <row r="371" spans="1:16" ht="11.25">
      <c r="A371" s="232" t="s">
        <v>329</v>
      </c>
      <c r="D371" s="231" t="s">
        <v>329</v>
      </c>
      <c r="E371" s="59"/>
      <c r="G371" s="231" t="s">
        <v>329</v>
      </c>
      <c r="H371" s="59"/>
      <c r="K371" s="231" t="s">
        <v>329</v>
      </c>
      <c r="N371" s="231" t="s">
        <v>329</v>
      </c>
      <c r="O371" s="3"/>
      <c r="P371" s="3"/>
    </row>
    <row r="372" ht="11.25">
      <c r="A372" s="5"/>
    </row>
    <row r="373" ht="11.25">
      <c r="A373" s="5"/>
    </row>
    <row r="374" spans="1:19" ht="11.25">
      <c r="A374" s="41" t="s">
        <v>333</v>
      </c>
      <c r="B374" s="42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44"/>
      <c r="P374" s="84"/>
      <c r="Q374" s="40"/>
      <c r="R374" s="40"/>
      <c r="S374" s="40"/>
    </row>
    <row r="375" spans="3:16" ht="11.25">
      <c r="C375" s="58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3"/>
      <c r="O375" s="3"/>
      <c r="P375" s="3"/>
    </row>
    <row r="376" spans="1:16" ht="11.25">
      <c r="A376" s="229" t="s">
        <v>322</v>
      </c>
      <c r="B376" s="13"/>
      <c r="C376" s="230">
        <v>40742.666666666664</v>
      </c>
      <c r="D376" s="230">
        <v>40780.666666666664</v>
      </c>
      <c r="E376" s="230">
        <v>40794.625</v>
      </c>
      <c r="F376" s="230">
        <v>40847.333333333336</v>
      </c>
      <c r="G376" s="230">
        <v>40870.75</v>
      </c>
      <c r="H376" s="230">
        <v>40891.75</v>
      </c>
      <c r="I376" s="230">
        <v>40920.75</v>
      </c>
      <c r="J376" s="230">
        <v>40946.333333333336</v>
      </c>
      <c r="K376" s="230">
        <v>40976.333333333336</v>
      </c>
      <c r="L376" s="230">
        <v>41003.333333333336</v>
      </c>
      <c r="M376" s="230">
        <v>41044.625</v>
      </c>
      <c r="N376" s="230">
        <v>41081.625</v>
      </c>
      <c r="O376" s="3"/>
      <c r="P376" s="3"/>
    </row>
    <row r="377" spans="1:15" ht="11.25">
      <c r="A377" s="15" t="s">
        <v>315</v>
      </c>
      <c r="B377" s="30"/>
      <c r="C377" s="200">
        <v>158.868</v>
      </c>
      <c r="D377" s="165">
        <v>155.254</v>
      </c>
      <c r="E377" s="165">
        <v>136.495</v>
      </c>
      <c r="F377" s="165">
        <v>131.463</v>
      </c>
      <c r="G377" s="165">
        <v>143.514</v>
      </c>
      <c r="H377" s="165">
        <v>160.575</v>
      </c>
      <c r="I377" s="165">
        <v>149.439</v>
      </c>
      <c r="J377" s="165">
        <v>156.054</v>
      </c>
      <c r="K377" s="165">
        <v>152.618</v>
      </c>
      <c r="L377" s="165">
        <v>139.263</v>
      </c>
      <c r="M377" s="165">
        <v>132.7</v>
      </c>
      <c r="N377" s="201">
        <v>153.637</v>
      </c>
      <c r="O377" s="202">
        <f aca="true" t="shared" si="108" ref="O377:O384">SUM(C377:N377)</f>
        <v>1769.8799999999999</v>
      </c>
    </row>
    <row r="378" spans="1:15" ht="11.25">
      <c r="A378" s="18" t="s">
        <v>316</v>
      </c>
      <c r="B378" s="29"/>
      <c r="C378" s="61">
        <v>2304.877</v>
      </c>
      <c r="D378" s="62">
        <v>2371.115</v>
      </c>
      <c r="E378" s="62">
        <v>2112.223</v>
      </c>
      <c r="F378" s="62">
        <v>2183.121</v>
      </c>
      <c r="G378" s="62">
        <v>2270.611</v>
      </c>
      <c r="H378" s="62">
        <v>2455.707</v>
      </c>
      <c r="I378" s="62">
        <v>2467.115</v>
      </c>
      <c r="J378" s="62">
        <v>2545.796</v>
      </c>
      <c r="K378" s="62">
        <v>2361.232</v>
      </c>
      <c r="L378" s="62">
        <v>2245.738</v>
      </c>
      <c r="M378" s="62">
        <v>1892.564</v>
      </c>
      <c r="N378" s="63">
        <v>2045.694</v>
      </c>
      <c r="O378" s="80">
        <f t="shared" si="108"/>
        <v>27255.792999999998</v>
      </c>
    </row>
    <row r="379" spans="1:15" ht="11.25">
      <c r="A379" s="18" t="s">
        <v>317</v>
      </c>
      <c r="B379" s="29"/>
      <c r="C379" s="61">
        <v>769.873</v>
      </c>
      <c r="D379" s="62">
        <v>757.118</v>
      </c>
      <c r="E379" s="62">
        <v>671.082</v>
      </c>
      <c r="F379" s="62">
        <v>651.553</v>
      </c>
      <c r="G379" s="62">
        <v>708.752</v>
      </c>
      <c r="H379" s="62">
        <v>752.947</v>
      </c>
      <c r="I379" s="62">
        <v>780.5</v>
      </c>
      <c r="J379" s="62">
        <v>706.448</v>
      </c>
      <c r="K379" s="62">
        <v>697.236</v>
      </c>
      <c r="L379" s="62">
        <v>606.924</v>
      </c>
      <c r="M379" s="62">
        <v>594.896</v>
      </c>
      <c r="N379" s="63">
        <v>710.513</v>
      </c>
      <c r="O379" s="80">
        <f t="shared" si="108"/>
        <v>8407.842</v>
      </c>
    </row>
    <row r="380" spans="1:15" ht="11.25">
      <c r="A380" s="18" t="s">
        <v>318</v>
      </c>
      <c r="B380" s="29"/>
      <c r="C380" s="61">
        <v>1071.678</v>
      </c>
      <c r="D380" s="62">
        <v>1042.928</v>
      </c>
      <c r="E380" s="62">
        <v>1009.868</v>
      </c>
      <c r="F380" s="62">
        <v>1024.751</v>
      </c>
      <c r="G380" s="62">
        <v>1084.255</v>
      </c>
      <c r="H380" s="62">
        <v>1118.648</v>
      </c>
      <c r="I380" s="62">
        <v>1101.317</v>
      </c>
      <c r="J380" s="62">
        <v>1059.788</v>
      </c>
      <c r="K380" s="62">
        <v>1055.556</v>
      </c>
      <c r="L380" s="62">
        <v>1017.632</v>
      </c>
      <c r="M380" s="62">
        <v>1005.037</v>
      </c>
      <c r="N380" s="63">
        <v>1074.784</v>
      </c>
      <c r="O380" s="80">
        <f t="shared" si="108"/>
        <v>12666.242</v>
      </c>
    </row>
    <row r="381" spans="1:15" ht="11.25">
      <c r="A381" s="18" t="s">
        <v>319</v>
      </c>
      <c r="B381" s="29"/>
      <c r="C381" s="61">
        <v>4526.931060431469</v>
      </c>
      <c r="D381" s="62">
        <v>4404.798120152895</v>
      </c>
      <c r="E381" s="62">
        <v>4090.6940115634825</v>
      </c>
      <c r="F381" s="62">
        <v>3053.976</v>
      </c>
      <c r="G381" s="62">
        <v>3684.027</v>
      </c>
      <c r="H381" s="62">
        <v>3790.0135981863677</v>
      </c>
      <c r="I381" s="62">
        <v>3672.5663175618365</v>
      </c>
      <c r="J381" s="62">
        <v>3393.027</v>
      </c>
      <c r="K381" s="62">
        <v>3259.398</v>
      </c>
      <c r="L381" s="62">
        <v>3100.691</v>
      </c>
      <c r="M381" s="62">
        <v>4027.943</v>
      </c>
      <c r="N381" s="63">
        <v>4298.048256059548</v>
      </c>
      <c r="O381" s="80">
        <f t="shared" si="108"/>
        <v>45302.1133639556</v>
      </c>
    </row>
    <row r="382" spans="1:15" ht="11.25">
      <c r="A382" s="18" t="s">
        <v>320</v>
      </c>
      <c r="B382" s="29"/>
      <c r="C382" s="61">
        <v>441.4024719894137</v>
      </c>
      <c r="D382" s="62">
        <v>304.7025600737678</v>
      </c>
      <c r="E382" s="62">
        <v>476.606</v>
      </c>
      <c r="F382" s="62">
        <v>437.165</v>
      </c>
      <c r="G382" s="62">
        <v>460.086</v>
      </c>
      <c r="H382" s="62">
        <v>478.799</v>
      </c>
      <c r="I382" s="62">
        <v>464.366</v>
      </c>
      <c r="J382" s="62">
        <v>445.301</v>
      </c>
      <c r="K382" s="62">
        <v>433.836</v>
      </c>
      <c r="L382" s="62">
        <v>430.63</v>
      </c>
      <c r="M382" s="62">
        <v>498.435</v>
      </c>
      <c r="N382" s="63">
        <v>408.62722567877177</v>
      </c>
      <c r="O382" s="80">
        <f t="shared" si="108"/>
        <v>5279.956257741953</v>
      </c>
    </row>
    <row r="383" spans="1:15" ht="11.25">
      <c r="A383" s="18" t="s">
        <v>318</v>
      </c>
      <c r="B383" s="29"/>
      <c r="C383" s="61">
        <v>253.716</v>
      </c>
      <c r="D383" s="62">
        <v>251.323</v>
      </c>
      <c r="E383" s="62">
        <v>247.901</v>
      </c>
      <c r="F383" s="62">
        <v>262.103</v>
      </c>
      <c r="G383" s="62">
        <v>271.1</v>
      </c>
      <c r="H383" s="62">
        <v>284.029</v>
      </c>
      <c r="I383" s="62">
        <v>261.433</v>
      </c>
      <c r="J383" s="62">
        <v>254.899</v>
      </c>
      <c r="K383" s="62">
        <v>266.398</v>
      </c>
      <c r="L383" s="62">
        <v>248.333</v>
      </c>
      <c r="M383" s="62">
        <v>248.798</v>
      </c>
      <c r="N383" s="63">
        <v>246.004</v>
      </c>
      <c r="O383" s="80">
        <f t="shared" si="108"/>
        <v>3096.0370000000003</v>
      </c>
    </row>
    <row r="384" spans="1:15" ht="11.25">
      <c r="A384" s="18" t="s">
        <v>321</v>
      </c>
      <c r="B384" s="29"/>
      <c r="C384" s="61">
        <v>38.543</v>
      </c>
      <c r="D384" s="62">
        <v>36.143</v>
      </c>
      <c r="E384" s="62">
        <v>36.813</v>
      </c>
      <c r="F384" s="62">
        <v>22.256</v>
      </c>
      <c r="G384" s="62">
        <v>30.508</v>
      </c>
      <c r="H384" s="62">
        <v>31.813</v>
      </c>
      <c r="I384" s="62">
        <v>30.585</v>
      </c>
      <c r="J384" s="62">
        <v>19.003</v>
      </c>
      <c r="K384" s="62">
        <v>19.218</v>
      </c>
      <c r="L384" s="62">
        <v>17.557</v>
      </c>
      <c r="M384" s="62">
        <v>25.379</v>
      </c>
      <c r="N384" s="63">
        <v>17.392</v>
      </c>
      <c r="O384" s="80">
        <f t="shared" si="108"/>
        <v>325.21000000000004</v>
      </c>
    </row>
    <row r="385" spans="1:15" ht="11.25">
      <c r="A385" s="38" t="s">
        <v>324</v>
      </c>
      <c r="B385" s="34"/>
      <c r="C385" s="190">
        <f>SUM(C377:C384)</f>
        <v>9565.888532420882</v>
      </c>
      <c r="D385" s="78">
        <f aca="true" t="shared" si="109" ref="D385:O385">SUM(D377:D384)</f>
        <v>9323.381680226661</v>
      </c>
      <c r="E385" s="78">
        <f t="shared" si="109"/>
        <v>8781.682011563482</v>
      </c>
      <c r="F385" s="78">
        <f t="shared" si="109"/>
        <v>7766.388</v>
      </c>
      <c r="G385" s="78">
        <f t="shared" si="109"/>
        <v>8652.853</v>
      </c>
      <c r="H385" s="78">
        <f t="shared" si="109"/>
        <v>9072.531598186368</v>
      </c>
      <c r="I385" s="78">
        <f t="shared" si="109"/>
        <v>8927.321317561837</v>
      </c>
      <c r="J385" s="78">
        <f t="shared" si="109"/>
        <v>8580.315999999999</v>
      </c>
      <c r="K385" s="78">
        <f t="shared" si="109"/>
        <v>8245.492</v>
      </c>
      <c r="L385" s="78">
        <f t="shared" si="109"/>
        <v>7806.767999999999</v>
      </c>
      <c r="M385" s="78">
        <f t="shared" si="109"/>
        <v>8425.752000000002</v>
      </c>
      <c r="N385" s="191">
        <f t="shared" si="109"/>
        <v>8954.699481738322</v>
      </c>
      <c r="O385" s="134">
        <f t="shared" si="109"/>
        <v>104103.07362169755</v>
      </c>
    </row>
    <row r="386" spans="3:16" ht="11.25"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3"/>
      <c r="O386" s="3"/>
      <c r="P386" s="3"/>
    </row>
    <row r="387" spans="3:16" ht="11.25">
      <c r="C387" s="58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3"/>
      <c r="O387" s="3"/>
      <c r="P387" s="3"/>
    </row>
    <row r="388" spans="1:16" ht="11.25">
      <c r="A388" s="229" t="s">
        <v>323</v>
      </c>
      <c r="B388" s="13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3"/>
      <c r="O388" s="3"/>
      <c r="P388" s="3"/>
    </row>
    <row r="389" spans="1:15" ht="11.25">
      <c r="A389" s="15" t="s">
        <v>315</v>
      </c>
      <c r="B389" s="30"/>
      <c r="C389" s="200">
        <v>90120</v>
      </c>
      <c r="D389" s="165">
        <v>85150</v>
      </c>
      <c r="E389" s="165">
        <v>72540</v>
      </c>
      <c r="F389" s="165">
        <v>70540</v>
      </c>
      <c r="G389" s="165">
        <v>73640</v>
      </c>
      <c r="H389" s="165">
        <v>84190</v>
      </c>
      <c r="I389" s="165">
        <v>86080</v>
      </c>
      <c r="J389" s="165">
        <v>76590</v>
      </c>
      <c r="K389" s="165">
        <v>76790</v>
      </c>
      <c r="L389" s="165">
        <v>74520</v>
      </c>
      <c r="M389" s="165">
        <v>80000</v>
      </c>
      <c r="N389" s="201">
        <v>83360</v>
      </c>
      <c r="O389" s="202">
        <f aca="true" t="shared" si="110" ref="O389:O396">SUM(C389:N389)</f>
        <v>953520</v>
      </c>
    </row>
    <row r="390" spans="1:15" ht="11.25">
      <c r="A390" s="18" t="s">
        <v>316</v>
      </c>
      <c r="B390" s="29"/>
      <c r="C390" s="61">
        <v>1264730</v>
      </c>
      <c r="D390" s="62">
        <v>1261600</v>
      </c>
      <c r="E390" s="62">
        <v>1140850</v>
      </c>
      <c r="F390" s="62">
        <v>1174690</v>
      </c>
      <c r="G390" s="62">
        <v>1242870</v>
      </c>
      <c r="H390" s="62">
        <v>1418300</v>
      </c>
      <c r="I390" s="62">
        <v>1434910</v>
      </c>
      <c r="J390" s="62">
        <v>1284910</v>
      </c>
      <c r="K390" s="62">
        <v>1294420</v>
      </c>
      <c r="L390" s="62">
        <v>1183460</v>
      </c>
      <c r="M390" s="62">
        <v>1182770</v>
      </c>
      <c r="N390" s="63">
        <v>1161300</v>
      </c>
      <c r="O390" s="80">
        <f t="shared" si="110"/>
        <v>15044810</v>
      </c>
    </row>
    <row r="391" spans="1:15" ht="11.25">
      <c r="A391" s="18" t="s">
        <v>317</v>
      </c>
      <c r="B391" s="29"/>
      <c r="C391" s="61">
        <v>395310</v>
      </c>
      <c r="D391" s="62">
        <v>395730</v>
      </c>
      <c r="E391" s="62">
        <v>360340</v>
      </c>
      <c r="F391" s="62">
        <v>375130</v>
      </c>
      <c r="G391" s="62">
        <v>388540</v>
      </c>
      <c r="H391" s="62">
        <v>440640</v>
      </c>
      <c r="I391" s="62">
        <v>441090</v>
      </c>
      <c r="J391" s="62">
        <v>386160</v>
      </c>
      <c r="K391" s="62">
        <v>374570</v>
      </c>
      <c r="L391" s="62">
        <v>340190</v>
      </c>
      <c r="M391" s="62">
        <v>346600</v>
      </c>
      <c r="N391" s="63">
        <v>341910</v>
      </c>
      <c r="O391" s="80">
        <f t="shared" si="110"/>
        <v>4586210</v>
      </c>
    </row>
    <row r="392" spans="1:15" ht="11.25">
      <c r="A392" s="18" t="s">
        <v>318</v>
      </c>
      <c r="B392" s="29"/>
      <c r="C392" s="61">
        <v>709660</v>
      </c>
      <c r="D392" s="62">
        <v>712320</v>
      </c>
      <c r="E392" s="62">
        <v>675450</v>
      </c>
      <c r="F392" s="62">
        <v>720280</v>
      </c>
      <c r="G392" s="62">
        <v>721670</v>
      </c>
      <c r="H392" s="62">
        <v>746280</v>
      </c>
      <c r="I392" s="62">
        <v>732020</v>
      </c>
      <c r="J392" s="62">
        <v>707410</v>
      </c>
      <c r="K392" s="62">
        <v>755010</v>
      </c>
      <c r="L392" s="62">
        <v>701130</v>
      </c>
      <c r="M392" s="62">
        <v>717610</v>
      </c>
      <c r="N392" s="63">
        <v>691920</v>
      </c>
      <c r="O392" s="80">
        <f t="shared" si="110"/>
        <v>8590760</v>
      </c>
    </row>
    <row r="393" spans="1:15" ht="11.25">
      <c r="A393" s="18" t="s">
        <v>319</v>
      </c>
      <c r="B393" s="29"/>
      <c r="C393" s="61">
        <v>2487068.8526099944</v>
      </c>
      <c r="D393" s="62">
        <v>2438509.7444056342</v>
      </c>
      <c r="E393" s="62">
        <v>2080961.8373600258</v>
      </c>
      <c r="F393" s="62">
        <v>2071429.3328379635</v>
      </c>
      <c r="G393" s="62">
        <v>2071815.7681234297</v>
      </c>
      <c r="H393" s="62">
        <v>2188690.6580353575</v>
      </c>
      <c r="I393" s="62">
        <v>2214778.992962022</v>
      </c>
      <c r="J393" s="62">
        <v>2061686.698582105</v>
      </c>
      <c r="K393" s="62">
        <v>2151582.6614674903</v>
      </c>
      <c r="L393" s="62">
        <v>2067721.3107937044</v>
      </c>
      <c r="M393" s="62">
        <v>2144934.3661793056</v>
      </c>
      <c r="N393" s="63">
        <v>2247828.3069755384</v>
      </c>
      <c r="O393" s="80">
        <f t="shared" si="110"/>
        <v>26227008.530332573</v>
      </c>
    </row>
    <row r="394" spans="1:15" ht="11.25">
      <c r="A394" s="18" t="s">
        <v>320</v>
      </c>
      <c r="B394" s="29"/>
      <c r="C394" s="61">
        <v>426953.55351274385</v>
      </c>
      <c r="D394" s="62">
        <v>358908.5042386021</v>
      </c>
      <c r="E394" s="62">
        <v>284426.5989845675</v>
      </c>
      <c r="F394" s="62">
        <v>283675.1399802953</v>
      </c>
      <c r="G394" s="62">
        <v>273202.46878707485</v>
      </c>
      <c r="H394" s="62">
        <v>297442.43600311154</v>
      </c>
      <c r="I394" s="62">
        <v>298675.59580139094</v>
      </c>
      <c r="J394" s="62">
        <v>271955.2283485774</v>
      </c>
      <c r="K394" s="62">
        <v>288034.5648054413</v>
      </c>
      <c r="L394" s="62">
        <v>276265.161247841</v>
      </c>
      <c r="M394" s="62">
        <v>332388.8130895598</v>
      </c>
      <c r="N394" s="63">
        <v>372817.1712077406</v>
      </c>
      <c r="O394" s="80">
        <f t="shared" si="110"/>
        <v>3764745.236006946</v>
      </c>
    </row>
    <row r="395" spans="1:15" ht="11.25">
      <c r="A395" s="18" t="s">
        <v>318</v>
      </c>
      <c r="B395" s="29"/>
      <c r="C395" s="61">
        <v>185400</v>
      </c>
      <c r="D395" s="62">
        <v>183180</v>
      </c>
      <c r="E395" s="62">
        <v>177340</v>
      </c>
      <c r="F395" s="62">
        <v>190260</v>
      </c>
      <c r="G395" s="62">
        <v>184140</v>
      </c>
      <c r="H395" s="62">
        <v>197730</v>
      </c>
      <c r="I395" s="62">
        <v>183820</v>
      </c>
      <c r="J395" s="62">
        <v>173540</v>
      </c>
      <c r="K395" s="62">
        <v>193780</v>
      </c>
      <c r="L395" s="62">
        <v>176380</v>
      </c>
      <c r="M395" s="62">
        <v>186090</v>
      </c>
      <c r="N395" s="63">
        <v>175680</v>
      </c>
      <c r="O395" s="80">
        <f t="shared" si="110"/>
        <v>2207340</v>
      </c>
    </row>
    <row r="396" spans="1:15" ht="11.25">
      <c r="A396" s="18" t="s">
        <v>321</v>
      </c>
      <c r="B396" s="29"/>
      <c r="C396" s="61">
        <v>22054.458</v>
      </c>
      <c r="D396" s="62">
        <v>21366.891</v>
      </c>
      <c r="E396" s="62">
        <v>19288.653</v>
      </c>
      <c r="F396" s="62">
        <v>16603.273</v>
      </c>
      <c r="G396" s="62">
        <v>16514.516</v>
      </c>
      <c r="H396" s="62">
        <v>19350.925</v>
      </c>
      <c r="I396" s="62">
        <v>17802.569</v>
      </c>
      <c r="J396" s="62">
        <v>15270.711000000001</v>
      </c>
      <c r="K396" s="62">
        <v>15955.473</v>
      </c>
      <c r="L396" s="62">
        <v>15047.706</v>
      </c>
      <c r="M396" s="62">
        <v>15830.82</v>
      </c>
      <c r="N396" s="63">
        <v>15554.319</v>
      </c>
      <c r="O396" s="80">
        <f t="shared" si="110"/>
        <v>210640.314</v>
      </c>
    </row>
    <row r="397" spans="1:17" ht="11.25">
      <c r="A397" s="38" t="s">
        <v>325</v>
      </c>
      <c r="B397" s="228"/>
      <c r="C397" s="225">
        <f>SUM(C389:C396)</f>
        <v>5581296.864122737</v>
      </c>
      <c r="D397" s="226">
        <f aca="true" t="shared" si="111" ref="D397:O397">SUM(D389:D396)</f>
        <v>5456765.139644236</v>
      </c>
      <c r="E397" s="226">
        <f t="shared" si="111"/>
        <v>4811197.089344594</v>
      </c>
      <c r="F397" s="226">
        <f t="shared" si="111"/>
        <v>4902607.745818259</v>
      </c>
      <c r="G397" s="226">
        <f t="shared" si="111"/>
        <v>4972392.752910504</v>
      </c>
      <c r="H397" s="226">
        <f t="shared" si="111"/>
        <v>5392624.019038469</v>
      </c>
      <c r="I397" s="226">
        <f t="shared" si="111"/>
        <v>5409177.157763412</v>
      </c>
      <c r="J397" s="226">
        <f t="shared" si="111"/>
        <v>4977522.637930683</v>
      </c>
      <c r="K397" s="226">
        <f t="shared" si="111"/>
        <v>5150142.6992729325</v>
      </c>
      <c r="L397" s="226">
        <f t="shared" si="111"/>
        <v>4834714.178041546</v>
      </c>
      <c r="M397" s="226">
        <f t="shared" si="111"/>
        <v>5006223.999268866</v>
      </c>
      <c r="N397" s="226">
        <f t="shared" si="111"/>
        <v>5090369.797183279</v>
      </c>
      <c r="O397" s="227">
        <f t="shared" si="111"/>
        <v>61585034.08033952</v>
      </c>
      <c r="P397" s="85"/>
      <c r="Q397" s="1"/>
    </row>
    <row r="398" spans="3:16" ht="11.25">
      <c r="C398" s="58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3"/>
      <c r="O398" s="3"/>
      <c r="P398" s="3"/>
    </row>
    <row r="399" spans="1:17" ht="11.25">
      <c r="A399" s="222"/>
      <c r="B399" s="29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Q399" s="1"/>
    </row>
    <row r="400" spans="1:19" ht="11.25">
      <c r="A400" s="7" t="s">
        <v>327</v>
      </c>
      <c r="B400" s="59"/>
      <c r="D400" s="231" t="s">
        <v>327</v>
      </c>
      <c r="E400" s="233"/>
      <c r="F400" s="233"/>
      <c r="G400" s="231" t="s">
        <v>327</v>
      </c>
      <c r="H400" s="233"/>
      <c r="I400" s="233"/>
      <c r="J400" s="233"/>
      <c r="K400" s="231" t="s">
        <v>327</v>
      </c>
      <c r="L400" s="233"/>
      <c r="M400" s="233"/>
      <c r="N400" s="231" t="s">
        <v>327</v>
      </c>
      <c r="O400" s="59"/>
      <c r="P400" s="59"/>
      <c r="Q400" s="59"/>
      <c r="R400" s="59"/>
      <c r="S400" s="59"/>
    </row>
    <row r="403" spans="1:19" ht="11.25">
      <c r="A403" s="41" t="s">
        <v>339</v>
      </c>
      <c r="B403" s="42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44"/>
      <c r="P403" s="84"/>
      <c r="Q403" s="43"/>
      <c r="R403" s="43"/>
      <c r="S403" s="43"/>
    </row>
    <row r="404" ht="11.25">
      <c r="A404" s="5"/>
    </row>
    <row r="405" ht="11.25">
      <c r="A405" s="5" t="s">
        <v>287</v>
      </c>
    </row>
    <row r="406" ht="11.25">
      <c r="A406" s="5"/>
    </row>
    <row r="407" spans="1:19" ht="11.25">
      <c r="A407" s="5" t="s">
        <v>335</v>
      </c>
      <c r="R407" s="10" t="s">
        <v>278</v>
      </c>
      <c r="S407" s="154" t="s">
        <v>309</v>
      </c>
    </row>
    <row r="408" spans="1:19" ht="11.25">
      <c r="A408" s="123" t="s">
        <v>274</v>
      </c>
      <c r="B408" s="124"/>
      <c r="C408" s="125">
        <f aca="true" t="shared" si="112" ref="C408:N408">-SUM(C332:C334)+SUM(C339:C340)+C342+SUM(C344:C345)+SUM(C350:C352)</f>
        <v>34427985.96497321</v>
      </c>
      <c r="D408" s="125">
        <f t="shared" si="112"/>
        <v>27099463.443276018</v>
      </c>
      <c r="E408" s="125">
        <f t="shared" si="112"/>
        <v>9101030.529794997</v>
      </c>
      <c r="F408" s="125">
        <f t="shared" si="112"/>
        <v>2149363.1271206085</v>
      </c>
      <c r="G408" s="125">
        <f t="shared" si="112"/>
        <v>-609107.3470268939</v>
      </c>
      <c r="H408" s="125">
        <f t="shared" si="112"/>
        <v>657984.2269416712</v>
      </c>
      <c r="I408" s="125">
        <f t="shared" si="112"/>
        <v>16222181.84733328</v>
      </c>
      <c r="J408" s="125">
        <f t="shared" si="112"/>
        <v>20746957.407543935</v>
      </c>
      <c r="K408" s="125">
        <f t="shared" si="112"/>
        <v>25729813.187389117</v>
      </c>
      <c r="L408" s="125">
        <f t="shared" si="112"/>
        <v>38289729.389469534</v>
      </c>
      <c r="M408" s="125">
        <f t="shared" si="112"/>
        <v>37121119.13306859</v>
      </c>
      <c r="N408" s="125">
        <f t="shared" si="112"/>
        <v>29343916.428713415</v>
      </c>
      <c r="O408" s="126">
        <f>-SUM(O332:O334)+SUM(O339:O340)+O342+SUM(O344:O345)+SUM(O350:O352)</f>
        <v>240280437.33859754</v>
      </c>
      <c r="P408" s="85"/>
      <c r="R408" s="126">
        <f>-SUM(R332:R334)+SUM(R339:R340)+R342+SUM(R344:R345)+SUM(R350:R352)</f>
        <v>240280438</v>
      </c>
      <c r="S408" s="217">
        <f>ROUND(O408-R408,0)</f>
        <v>-1</v>
      </c>
    </row>
    <row r="409" spans="1:19" ht="11.25">
      <c r="A409" s="127" t="s">
        <v>275</v>
      </c>
      <c r="B409" s="128"/>
      <c r="C409" s="129">
        <f aca="true" t="shared" si="113" ref="C409:N409">-C335+C341+C343+C353+C364</f>
        <v>105703704.32778671</v>
      </c>
      <c r="D409" s="129">
        <f t="shared" si="113"/>
        <v>124358608.54978369</v>
      </c>
      <c r="E409" s="129">
        <f t="shared" si="113"/>
        <v>117083965.1547634</v>
      </c>
      <c r="F409" s="129">
        <f t="shared" si="113"/>
        <v>111867212.88772541</v>
      </c>
      <c r="G409" s="129">
        <f t="shared" si="113"/>
        <v>114460614.00623819</v>
      </c>
      <c r="H409" s="129">
        <f t="shared" si="113"/>
        <v>124223830.25652155</v>
      </c>
      <c r="I409" s="129">
        <f t="shared" si="113"/>
        <v>112720629.92649244</v>
      </c>
      <c r="J409" s="129">
        <f t="shared" si="113"/>
        <v>97880552.45331937</v>
      </c>
      <c r="K409" s="129">
        <f t="shared" si="113"/>
        <v>95726074.6604215</v>
      </c>
      <c r="L409" s="129">
        <f t="shared" si="113"/>
        <v>82021354.97406286</v>
      </c>
      <c r="M409" s="129">
        <f t="shared" si="113"/>
        <v>88759647.3246353</v>
      </c>
      <c r="N409" s="129">
        <f t="shared" si="113"/>
        <v>93359138.13922988</v>
      </c>
      <c r="O409" s="130">
        <f>-O335+O341+O343+O353+O364</f>
        <v>1268165332.6609807</v>
      </c>
      <c r="P409" s="85"/>
      <c r="R409" s="130">
        <f>-R335+R341+R343+R353+R364</f>
        <v>1268165332</v>
      </c>
      <c r="S409" s="218">
        <f>ROUND(O409-R409,0)</f>
        <v>1</v>
      </c>
    </row>
    <row r="410" spans="1:19" ht="11.25">
      <c r="A410" s="38" t="s">
        <v>273</v>
      </c>
      <c r="B410" s="34"/>
      <c r="C410" s="78">
        <f aca="true" t="shared" si="114" ref="C410:N410">SUM(C408:C409)</f>
        <v>140131690.29275993</v>
      </c>
      <c r="D410" s="78">
        <f t="shared" si="114"/>
        <v>151458071.9930597</v>
      </c>
      <c r="E410" s="78">
        <f t="shared" si="114"/>
        <v>126184995.68455839</v>
      </c>
      <c r="F410" s="78">
        <f t="shared" si="114"/>
        <v>114016576.01484603</v>
      </c>
      <c r="G410" s="78">
        <f t="shared" si="114"/>
        <v>113851506.6592113</v>
      </c>
      <c r="H410" s="78">
        <f t="shared" si="114"/>
        <v>124881814.48346323</v>
      </c>
      <c r="I410" s="78">
        <f t="shared" si="114"/>
        <v>128942811.77382572</v>
      </c>
      <c r="J410" s="78">
        <f t="shared" si="114"/>
        <v>118627509.8608633</v>
      </c>
      <c r="K410" s="78">
        <f t="shared" si="114"/>
        <v>121455887.84781063</v>
      </c>
      <c r="L410" s="78">
        <f t="shared" si="114"/>
        <v>120311084.3635324</v>
      </c>
      <c r="M410" s="78">
        <f t="shared" si="114"/>
        <v>125880766.45770389</v>
      </c>
      <c r="N410" s="78">
        <f t="shared" si="114"/>
        <v>122703054.56794329</v>
      </c>
      <c r="O410" s="39">
        <f>SUM(O408:O409)</f>
        <v>1508445769.9995782</v>
      </c>
      <c r="P410" s="132" t="s">
        <v>250</v>
      </c>
      <c r="R410" s="39">
        <f>SUM(R408:R409)</f>
        <v>1508445770</v>
      </c>
      <c r="S410" s="216">
        <f>ROUND(O410-R410,0)</f>
        <v>0</v>
      </c>
    </row>
    <row r="412" ht="11.25">
      <c r="A412" s="5" t="s">
        <v>276</v>
      </c>
    </row>
    <row r="413" spans="1:16" ht="11.25">
      <c r="A413" s="149" t="s">
        <v>272</v>
      </c>
      <c r="B413" s="30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245">
        <v>1475000000</v>
      </c>
      <c r="P413" s="133" t="s">
        <v>267</v>
      </c>
    </row>
    <row r="414" spans="1:18" ht="11.25">
      <c r="A414" s="19" t="s">
        <v>268</v>
      </c>
      <c r="B414" s="13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240">
        <f>O413/O410-1</f>
        <v>-0.022172338352997367</v>
      </c>
      <c r="R414" s="160">
        <f>O413/R410-1</f>
        <v>-0.022172338353270704</v>
      </c>
    </row>
    <row r="416" ht="11.25">
      <c r="A416" s="5" t="s">
        <v>334</v>
      </c>
    </row>
    <row r="417" spans="1:19" ht="11.25">
      <c r="A417" s="15" t="s">
        <v>274</v>
      </c>
      <c r="B417" s="30"/>
      <c r="C417" s="76">
        <f>(1+$O$414)*C408</f>
        <v>33664637.01134558</v>
      </c>
      <c r="D417" s="76">
        <f aca="true" t="shared" si="115" ref="D417:N417">(1+$O$414)*D408</f>
        <v>26498604.970627017</v>
      </c>
      <c r="E417" s="76">
        <f t="shared" si="115"/>
        <v>8899239.401527423</v>
      </c>
      <c r="F417" s="76">
        <f t="shared" si="115"/>
        <v>2101706.720622634</v>
      </c>
      <c r="G417" s="76">
        <f t="shared" si="115"/>
        <v>-595602.012835317</v>
      </c>
      <c r="H417" s="76">
        <f t="shared" si="115"/>
        <v>643395.1780309851</v>
      </c>
      <c r="I417" s="76">
        <f t="shared" si="115"/>
        <v>15862498.142590355</v>
      </c>
      <c r="J417" s="76">
        <f t="shared" si="115"/>
        <v>20286948.848108646</v>
      </c>
      <c r="K417" s="76">
        <f t="shared" si="115"/>
        <v>25159323.06363891</v>
      </c>
      <c r="L417" s="76">
        <f t="shared" si="115"/>
        <v>37440756.55400151</v>
      </c>
      <c r="M417" s="76">
        <f t="shared" si="115"/>
        <v>36298057.11960827</v>
      </c>
      <c r="N417" s="76">
        <f t="shared" si="115"/>
        <v>28693293.185053904</v>
      </c>
      <c r="O417" s="126">
        <f>(1+$O$414)*O408</f>
        <v>234952858.18231997</v>
      </c>
      <c r="P417" s="85"/>
      <c r="Q417" s="131"/>
      <c r="R417" s="126">
        <f>(1+$R$414)*R408</f>
        <v>234952858.82899192</v>
      </c>
      <c r="S417" s="217">
        <f>ROUND(O417-R417,0)</f>
        <v>-1</v>
      </c>
    </row>
    <row r="418" spans="1:19" ht="11.25">
      <c r="A418" s="18" t="s">
        <v>275</v>
      </c>
      <c r="B418" s="29"/>
      <c r="C418" s="59">
        <f>(1+$O$414)*C409</f>
        <v>103360006.03026584</v>
      </c>
      <c r="D418" s="59">
        <f aca="true" t="shared" si="116" ref="D418:N418">(1+$O$414)*D409</f>
        <v>121601287.40390994</v>
      </c>
      <c r="E418" s="59">
        <f t="shared" si="116"/>
        <v>114487939.86364143</v>
      </c>
      <c r="F418" s="59">
        <f t="shared" si="116"/>
        <v>109386855.19297197</v>
      </c>
      <c r="G418" s="59">
        <f t="shared" si="116"/>
        <v>111922754.54440005</v>
      </c>
      <c r="H418" s="59">
        <f t="shared" si="116"/>
        <v>121469497.46056865</v>
      </c>
      <c r="I418" s="59">
        <f t="shared" si="116"/>
        <v>110221349.98039925</v>
      </c>
      <c r="J418" s="59">
        <f t="shared" si="116"/>
        <v>95710311.72614607</v>
      </c>
      <c r="K418" s="59">
        <f t="shared" si="116"/>
        <v>93603603.74384636</v>
      </c>
      <c r="L418" s="59">
        <f t="shared" si="116"/>
        <v>80202749.73940663</v>
      </c>
      <c r="M418" s="59">
        <f t="shared" si="116"/>
        <v>86791638.39206077</v>
      </c>
      <c r="N418" s="59">
        <f t="shared" si="116"/>
        <v>91289147.74006265</v>
      </c>
      <c r="O418" s="135">
        <f>(1+$O$414)*O409</f>
        <v>1240047141.81768</v>
      </c>
      <c r="P418" s="85"/>
      <c r="Q418" s="131"/>
      <c r="R418" s="135">
        <f>(1+$R$414)*R409</f>
        <v>1240047141.171008</v>
      </c>
      <c r="S418" s="218">
        <f>ROUND(O418-R418,0)</f>
        <v>1</v>
      </c>
    </row>
    <row r="419" spans="1:19" ht="11.25">
      <c r="A419" s="38" t="s">
        <v>273</v>
      </c>
      <c r="B419" s="34"/>
      <c r="C419" s="78">
        <f>SUM(C417:C418)</f>
        <v>137024643.04161143</v>
      </c>
      <c r="D419" s="78">
        <f aca="true" t="shared" si="117" ref="D419:N419">SUM(D417:D418)</f>
        <v>148099892.37453696</v>
      </c>
      <c r="E419" s="78">
        <f t="shared" si="117"/>
        <v>123387179.26516885</v>
      </c>
      <c r="F419" s="78">
        <f t="shared" si="117"/>
        <v>111488561.9135946</v>
      </c>
      <c r="G419" s="78">
        <f t="shared" si="117"/>
        <v>111327152.53156473</v>
      </c>
      <c r="H419" s="78">
        <f t="shared" si="117"/>
        <v>122112892.63859963</v>
      </c>
      <c r="I419" s="78">
        <f t="shared" si="117"/>
        <v>126083848.12298961</v>
      </c>
      <c r="J419" s="78">
        <f t="shared" si="117"/>
        <v>115997260.57425472</v>
      </c>
      <c r="K419" s="78">
        <f t="shared" si="117"/>
        <v>118762926.80748527</v>
      </c>
      <c r="L419" s="78">
        <f t="shared" si="117"/>
        <v>117643506.29340814</v>
      </c>
      <c r="M419" s="78">
        <f t="shared" si="117"/>
        <v>123089695.51166904</v>
      </c>
      <c r="N419" s="78">
        <f t="shared" si="117"/>
        <v>119982440.92511655</v>
      </c>
      <c r="O419" s="39">
        <f>SUM(O417:O418)</f>
        <v>1474999999.9999998</v>
      </c>
      <c r="P419" s="132" t="s">
        <v>249</v>
      </c>
      <c r="R419" s="105">
        <f>SUM(R417:R418)</f>
        <v>1475000000</v>
      </c>
      <c r="S419" s="216">
        <f>ROUND(O419-R419,0)</f>
        <v>0</v>
      </c>
    </row>
    <row r="420" spans="1:15" ht="11.25">
      <c r="A420" s="139"/>
      <c r="B420" s="2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97"/>
    </row>
    <row r="421" spans="1:17" ht="11.25">
      <c r="A421" s="3" t="s">
        <v>243</v>
      </c>
      <c r="C421" s="113">
        <f aca="true" t="shared" si="118" ref="C421:O421">C397</f>
        <v>5581296.864122737</v>
      </c>
      <c r="D421" s="114">
        <f t="shared" si="118"/>
        <v>5456765.139644236</v>
      </c>
      <c r="E421" s="114">
        <f t="shared" si="118"/>
        <v>4811197.089344594</v>
      </c>
      <c r="F421" s="114">
        <f t="shared" si="118"/>
        <v>4902607.745818259</v>
      </c>
      <c r="G421" s="114">
        <f t="shared" si="118"/>
        <v>4972392.752910504</v>
      </c>
      <c r="H421" s="115">
        <f t="shared" si="118"/>
        <v>5392624.019038469</v>
      </c>
      <c r="I421" s="114">
        <f t="shared" si="118"/>
        <v>5409177.157763412</v>
      </c>
      <c r="J421" s="114">
        <f t="shared" si="118"/>
        <v>4977522.637930683</v>
      </c>
      <c r="K421" s="114">
        <f t="shared" si="118"/>
        <v>5150142.6992729325</v>
      </c>
      <c r="L421" s="114">
        <f t="shared" si="118"/>
        <v>4834714.178041546</v>
      </c>
      <c r="M421" s="114">
        <f t="shared" si="118"/>
        <v>5006223.999268866</v>
      </c>
      <c r="N421" s="114">
        <f t="shared" si="118"/>
        <v>5090369.797183279</v>
      </c>
      <c r="O421" s="116">
        <f t="shared" si="118"/>
        <v>61585034.08033952</v>
      </c>
      <c r="P421" s="132" t="s">
        <v>248</v>
      </c>
      <c r="Q421" s="1"/>
    </row>
    <row r="422" spans="3:15" ht="11.25"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111"/>
    </row>
    <row r="423" spans="1:17" ht="11.25">
      <c r="A423" s="155" t="s">
        <v>285</v>
      </c>
      <c r="B423" s="118"/>
      <c r="C423" s="156">
        <f aca="true" t="shared" si="119" ref="C423:O423">C419/C421</f>
        <v>24.55068174610505</v>
      </c>
      <c r="D423" s="157">
        <f t="shared" si="119"/>
        <v>27.140602277083268</v>
      </c>
      <c r="E423" s="157">
        <f t="shared" si="119"/>
        <v>25.645837610443287</v>
      </c>
      <c r="F423" s="157">
        <f t="shared" si="119"/>
        <v>22.740665314023985</v>
      </c>
      <c r="G423" s="157">
        <f t="shared" si="119"/>
        <v>22.389050516253228</v>
      </c>
      <c r="H423" s="157">
        <f t="shared" si="119"/>
        <v>22.644429169822406</v>
      </c>
      <c r="I423" s="157">
        <f t="shared" si="119"/>
        <v>23.309247311678508</v>
      </c>
      <c r="J423" s="157">
        <f t="shared" si="119"/>
        <v>23.30421557308648</v>
      </c>
      <c r="K423" s="157">
        <f t="shared" si="119"/>
        <v>23.06012352322811</v>
      </c>
      <c r="L423" s="157">
        <f t="shared" si="119"/>
        <v>24.333084017194864</v>
      </c>
      <c r="M423" s="157">
        <f t="shared" si="119"/>
        <v>24.58733279406708</v>
      </c>
      <c r="N423" s="158">
        <f t="shared" si="119"/>
        <v>23.57047635154287</v>
      </c>
      <c r="O423" s="159">
        <f t="shared" si="119"/>
        <v>23.950624076554348</v>
      </c>
      <c r="P423" s="132" t="s">
        <v>244</v>
      </c>
      <c r="Q423" s="1"/>
    </row>
    <row r="426" ht="11.25">
      <c r="A426" s="5" t="s">
        <v>288</v>
      </c>
    </row>
    <row r="428" ht="11.25">
      <c r="A428" s="5" t="s">
        <v>240</v>
      </c>
    </row>
    <row r="429" spans="1:15" ht="11.25">
      <c r="A429" s="15" t="s">
        <v>337</v>
      </c>
      <c r="B429" s="30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47">
        <f>0.75*(O381/O385)+0.25*O430</f>
        <v>0.43284111341301157</v>
      </c>
    </row>
    <row r="430" spans="1:15" ht="11.25">
      <c r="A430" s="19" t="s">
        <v>241</v>
      </c>
      <c r="B430" s="13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246">
        <f>O393/O397</f>
        <v>0.42586659116107095</v>
      </c>
    </row>
    <row r="432" spans="1:19" ht="11.25">
      <c r="A432" s="110" t="s">
        <v>270</v>
      </c>
      <c r="R432" s="10" t="s">
        <v>278</v>
      </c>
      <c r="S432" s="154" t="s">
        <v>309</v>
      </c>
    </row>
    <row r="433" spans="1:19" ht="11.25">
      <c r="A433" s="15" t="s">
        <v>226</v>
      </c>
      <c r="B433" s="30"/>
      <c r="C433" s="76">
        <f>$O$429*C408</f>
        <v>14901847.77764654</v>
      </c>
      <c r="D433" s="76">
        <f aca="true" t="shared" si="120" ref="D433:N433">$O$429*D408</f>
        <v>11729761.929682795</v>
      </c>
      <c r="E433" s="76">
        <f t="shared" si="120"/>
        <v>3939300.187722277</v>
      </c>
      <c r="F433" s="76">
        <f t="shared" si="120"/>
        <v>930332.7290717565</v>
      </c>
      <c r="G433" s="76">
        <f t="shared" si="120"/>
        <v>-263646.70227516635</v>
      </c>
      <c r="H433" s="76">
        <f t="shared" si="120"/>
        <v>284802.62539763266</v>
      </c>
      <c r="I433" s="76">
        <f t="shared" si="120"/>
        <v>7021627.252788082</v>
      </c>
      <c r="J433" s="76">
        <f t="shared" si="120"/>
        <v>8980136.144213645</v>
      </c>
      <c r="K433" s="76">
        <f t="shared" si="120"/>
        <v>11136920.987938294</v>
      </c>
      <c r="L433" s="76">
        <f t="shared" si="120"/>
        <v>16573369.101220906</v>
      </c>
      <c r="M433" s="76">
        <f t="shared" si="120"/>
        <v>16067546.536694456</v>
      </c>
      <c r="N433" s="76">
        <f t="shared" si="120"/>
        <v>12701253.458902678</v>
      </c>
      <c r="O433" s="183">
        <f>$O$429*O408</f>
        <v>104003252.02900392</v>
      </c>
      <c r="P433" s="85"/>
      <c r="R433" s="136">
        <f>O429*R408</f>
        <v>104003252.3152861</v>
      </c>
      <c r="S433" s="214">
        <f>ROUND(O433-R433,0)</f>
        <v>0</v>
      </c>
    </row>
    <row r="434" spans="1:19" ht="11.25">
      <c r="A434" s="18" t="s">
        <v>227</v>
      </c>
      <c r="B434" s="29"/>
      <c r="C434" s="59">
        <f>$O$430*C409</f>
        <v>45015676.23517227</v>
      </c>
      <c r="D434" s="59">
        <f aca="true" t="shared" si="121" ref="D434:N434">$O$430*D409</f>
        <v>52960176.7046304</v>
      </c>
      <c r="E434" s="59">
        <f t="shared" si="121"/>
        <v>49862149.1200807</v>
      </c>
      <c r="F434" s="59">
        <f t="shared" si="121"/>
        <v>47640508.61518545</v>
      </c>
      <c r="G434" s="59">
        <f t="shared" si="121"/>
        <v>48744951.50903979</v>
      </c>
      <c r="H434" s="59">
        <f t="shared" si="121"/>
        <v>52902779.132316336</v>
      </c>
      <c r="I434" s="59">
        <f t="shared" si="121"/>
        <v>48003950.42032393</v>
      </c>
      <c r="J434" s="59">
        <f t="shared" si="121"/>
        <v>41684057.21425752</v>
      </c>
      <c r="K434" s="59">
        <f t="shared" si="121"/>
        <v>40766537.10086388</v>
      </c>
      <c r="L434" s="59">
        <f t="shared" si="121"/>
        <v>34930154.845216304</v>
      </c>
      <c r="M434" s="59">
        <f t="shared" si="121"/>
        <v>37799768.4388013</v>
      </c>
      <c r="N434" s="59">
        <f t="shared" si="121"/>
        <v>39758537.91308936</v>
      </c>
      <c r="O434" s="162">
        <f>$O$430*O409</f>
        <v>540069247.2489774</v>
      </c>
      <c r="P434" s="85"/>
      <c r="R434" s="137">
        <f>O430*R409</f>
        <v>540069246.9674878</v>
      </c>
      <c r="S434" s="215">
        <f>ROUND(O434-R434,0)</f>
        <v>0</v>
      </c>
    </row>
    <row r="435" spans="1:19" ht="11.25">
      <c r="A435" s="38" t="s">
        <v>269</v>
      </c>
      <c r="B435" s="34"/>
      <c r="C435" s="78">
        <f>SUM(C433:C434)</f>
        <v>59917524.01281881</v>
      </c>
      <c r="D435" s="78">
        <f aca="true" t="shared" si="122" ref="D435:N435">SUM(D433:D434)</f>
        <v>64689938.634313196</v>
      </c>
      <c r="E435" s="78">
        <f t="shared" si="122"/>
        <v>53801449.307802975</v>
      </c>
      <c r="F435" s="78">
        <f t="shared" si="122"/>
        <v>48570841.344257206</v>
      </c>
      <c r="G435" s="78">
        <f t="shared" si="122"/>
        <v>48481304.806764625</v>
      </c>
      <c r="H435" s="78">
        <f t="shared" si="122"/>
        <v>53187581.757713966</v>
      </c>
      <c r="I435" s="78">
        <f t="shared" si="122"/>
        <v>55025577.67311201</v>
      </c>
      <c r="J435" s="78">
        <f t="shared" si="122"/>
        <v>50664193.35847117</v>
      </c>
      <c r="K435" s="78">
        <f t="shared" si="122"/>
        <v>51903458.088802174</v>
      </c>
      <c r="L435" s="78">
        <f t="shared" si="122"/>
        <v>51503523.94643721</v>
      </c>
      <c r="M435" s="78">
        <f t="shared" si="122"/>
        <v>53867314.975495756</v>
      </c>
      <c r="N435" s="78">
        <f t="shared" si="122"/>
        <v>52459791.37199204</v>
      </c>
      <c r="O435" s="134">
        <f>SUM(O433:O434)</f>
        <v>644072499.2779813</v>
      </c>
      <c r="P435" s="85"/>
      <c r="Q435" s="150"/>
      <c r="R435" s="39">
        <f>SUM(R433:R434)</f>
        <v>644072499.282774</v>
      </c>
      <c r="S435" s="216">
        <f>ROUND(O435-R435,0)</f>
        <v>0</v>
      </c>
    </row>
    <row r="436" spans="3:17" ht="11.25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Q436" s="151"/>
    </row>
    <row r="437" ht="11.25">
      <c r="A437" s="5" t="s">
        <v>277</v>
      </c>
    </row>
    <row r="438" spans="1:16" ht="11.25">
      <c r="A438" s="149" t="s">
        <v>271</v>
      </c>
      <c r="B438" s="30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108">
        <f>-15000000</f>
        <v>-15000000</v>
      </c>
      <c r="P438" s="133" t="s">
        <v>267</v>
      </c>
    </row>
    <row r="439" spans="1:18" ht="11.25">
      <c r="A439" s="19" t="s">
        <v>268</v>
      </c>
      <c r="B439" s="13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144">
        <f>(O435+O438)/O435-1</f>
        <v>-0.023289303637114345</v>
      </c>
      <c r="R439" s="160">
        <f>(R435+O438)/R435-1</f>
        <v>-0.02328930363694104</v>
      </c>
    </row>
    <row r="440" spans="1:15" ht="11.25">
      <c r="A440" s="139"/>
      <c r="B440" s="2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148"/>
    </row>
    <row r="441" ht="11.25">
      <c r="A441" s="5" t="s">
        <v>338</v>
      </c>
    </row>
    <row r="442" spans="1:19" ht="11.25">
      <c r="A442" s="15" t="s">
        <v>226</v>
      </c>
      <c r="B442" s="30"/>
      <c r="C442" s="76">
        <f>(1+$O$439)*C433</f>
        <v>14554794.119998872</v>
      </c>
      <c r="D442" s="76">
        <f aca="true" t="shared" si="123" ref="D442:N442">(1+$O$439)*D433</f>
        <v>11456583.942511348</v>
      </c>
      <c r="E442" s="76">
        <f t="shared" si="123"/>
        <v>3847556.629532671</v>
      </c>
      <c r="F442" s="76">
        <f t="shared" si="123"/>
        <v>908665.9276608591</v>
      </c>
      <c r="G442" s="76">
        <f t="shared" si="123"/>
        <v>-257506.55417295612</v>
      </c>
      <c r="H442" s="76">
        <f t="shared" si="123"/>
        <v>278169.7705780999</v>
      </c>
      <c r="I442" s="76">
        <f t="shared" si="123"/>
        <v>6858098.443671263</v>
      </c>
      <c r="J442" s="76">
        <f t="shared" si="123"/>
        <v>8770995.026848428</v>
      </c>
      <c r="K442" s="76">
        <f t="shared" si="123"/>
        <v>10877549.853467647</v>
      </c>
      <c r="L442" s="76">
        <f t="shared" si="123"/>
        <v>16187386.875932604</v>
      </c>
      <c r="M442" s="76">
        <f t="shared" si="123"/>
        <v>15693344.566697914</v>
      </c>
      <c r="N442" s="76">
        <f t="shared" si="123"/>
        <v>12405450.110526344</v>
      </c>
      <c r="O442" s="126">
        <f>(1+$O$439)*O433</f>
        <v>101581088.71325311</v>
      </c>
      <c r="P442" s="85"/>
      <c r="R442" s="126">
        <f>(1+$R$439)*R433</f>
        <v>101581088.992886</v>
      </c>
      <c r="S442" s="214">
        <f>ROUND(O442-R442,0)</f>
        <v>0</v>
      </c>
    </row>
    <row r="443" spans="1:19" ht="11.25">
      <c r="A443" s="18" t="s">
        <v>227</v>
      </c>
      <c r="B443" s="29"/>
      <c r="C443" s="59">
        <f>(1+$O$439)*C434</f>
        <v>43967292.48290131</v>
      </c>
      <c r="D443" s="59">
        <f aca="true" t="shared" si="124" ref="D443:N443">(1+$O$439)*D434</f>
        <v>51726771.06868103</v>
      </c>
      <c r="E443" s="59">
        <f t="shared" si="124"/>
        <v>48700894.38922407</v>
      </c>
      <c r="F443" s="59">
        <f t="shared" si="124"/>
        <v>46530994.34461983</v>
      </c>
      <c r="G443" s="59">
        <f t="shared" si="124"/>
        <v>47609715.53256935</v>
      </c>
      <c r="H443" s="59">
        <f t="shared" si="124"/>
        <v>51670710.24585663</v>
      </c>
      <c r="I443" s="59">
        <f t="shared" si="124"/>
        <v>46885971.84320402</v>
      </c>
      <c r="J443" s="59">
        <f t="shared" si="124"/>
        <v>40713264.54896783</v>
      </c>
      <c r="K443" s="59">
        <f t="shared" si="124"/>
        <v>39817112.840088174</v>
      </c>
      <c r="L443" s="59">
        <f t="shared" si="124"/>
        <v>34116655.86293464</v>
      </c>
      <c r="M443" s="59">
        <f t="shared" si="124"/>
        <v>36919438.15421745</v>
      </c>
      <c r="N443" s="59">
        <f t="shared" si="124"/>
        <v>38832589.2514637</v>
      </c>
      <c r="O443" s="135">
        <f>(1+$O$439)*O434</f>
        <v>527491410.5647282</v>
      </c>
      <c r="P443" s="85"/>
      <c r="R443" s="135">
        <f>(1+$R$439)*R434</f>
        <v>527491410.2898879</v>
      </c>
      <c r="S443" s="215">
        <f>ROUND(O443-R443,0)</f>
        <v>0</v>
      </c>
    </row>
    <row r="444" spans="1:19" ht="11.25">
      <c r="A444" s="250" t="s">
        <v>283</v>
      </c>
      <c r="B444" s="99"/>
      <c r="C444" s="68">
        <f aca="true" t="shared" si="125" ref="C444:O444">SUM(C442:C443)</f>
        <v>58522086.602900185</v>
      </c>
      <c r="D444" s="68">
        <f t="shared" si="125"/>
        <v>63183355.01119238</v>
      </c>
      <c r="E444" s="68">
        <f t="shared" si="125"/>
        <v>52548451.01875674</v>
      </c>
      <c r="F444" s="68">
        <f t="shared" si="125"/>
        <v>47439660.27228069</v>
      </c>
      <c r="G444" s="68">
        <f t="shared" si="125"/>
        <v>47352208.97839639</v>
      </c>
      <c r="H444" s="68">
        <f t="shared" si="125"/>
        <v>51948880.01643473</v>
      </c>
      <c r="I444" s="68">
        <f t="shared" si="125"/>
        <v>53744070.286875285</v>
      </c>
      <c r="J444" s="68">
        <f t="shared" si="125"/>
        <v>49484259.57581626</v>
      </c>
      <c r="K444" s="68">
        <f t="shared" si="125"/>
        <v>50694662.69355582</v>
      </c>
      <c r="L444" s="68">
        <f t="shared" si="125"/>
        <v>50304042.738867246</v>
      </c>
      <c r="M444" s="68">
        <f t="shared" si="125"/>
        <v>52612782.72091536</v>
      </c>
      <c r="N444" s="68">
        <f t="shared" si="125"/>
        <v>51238039.36199004</v>
      </c>
      <c r="O444" s="105">
        <f t="shared" si="125"/>
        <v>629072499.2779813</v>
      </c>
      <c r="P444" s="85"/>
      <c r="R444" s="105">
        <f>SUM(R442:R443)</f>
        <v>629072499.282774</v>
      </c>
      <c r="S444" s="216">
        <f>ROUND(O444-R444,0)</f>
        <v>0</v>
      </c>
    </row>
    <row r="445" spans="3:15" ht="11.25"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6" ht="11.25">
      <c r="A446" s="3" t="s">
        <v>242</v>
      </c>
      <c r="C446" s="113">
        <f>C$393</f>
        <v>2487068.8526099944</v>
      </c>
      <c r="D446" s="114">
        <f aca="true" t="shared" si="126" ref="D446:O446">D$393</f>
        <v>2438509.7444056342</v>
      </c>
      <c r="E446" s="114">
        <f t="shared" si="126"/>
        <v>2080961.8373600258</v>
      </c>
      <c r="F446" s="114">
        <f t="shared" si="126"/>
        <v>2071429.3328379635</v>
      </c>
      <c r="G446" s="114">
        <f t="shared" si="126"/>
        <v>2071815.7681234297</v>
      </c>
      <c r="H446" s="115">
        <f t="shared" si="126"/>
        <v>2188690.6580353575</v>
      </c>
      <c r="I446" s="114">
        <f t="shared" si="126"/>
        <v>2214778.992962022</v>
      </c>
      <c r="J446" s="114">
        <f t="shared" si="126"/>
        <v>2061686.698582105</v>
      </c>
      <c r="K446" s="114">
        <f t="shared" si="126"/>
        <v>2151582.6614674903</v>
      </c>
      <c r="L446" s="114">
        <f t="shared" si="126"/>
        <v>2067721.3107937044</v>
      </c>
      <c r="M446" s="114">
        <f t="shared" si="126"/>
        <v>2144934.3661793056</v>
      </c>
      <c r="N446" s="114">
        <f t="shared" si="126"/>
        <v>2247828.3069755384</v>
      </c>
      <c r="O446" s="116">
        <f t="shared" si="126"/>
        <v>26227008.530332573</v>
      </c>
      <c r="P446" s="85"/>
    </row>
    <row r="447" spans="3:15" ht="11.25"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111"/>
    </row>
    <row r="448" spans="1:17" ht="11.25">
      <c r="A448" s="117" t="s">
        <v>284</v>
      </c>
      <c r="B448" s="251"/>
      <c r="C448" s="119">
        <f>C444/C446</f>
        <v>23.530545421565467</v>
      </c>
      <c r="D448" s="120">
        <f aca="true" t="shared" si="127" ref="D448:N448">D444/D446</f>
        <v>25.91064282443242</v>
      </c>
      <c r="E448" s="120">
        <f t="shared" si="127"/>
        <v>25.25200129831375</v>
      </c>
      <c r="F448" s="120">
        <f t="shared" si="127"/>
        <v>22.90189654082283</v>
      </c>
      <c r="G448" s="120">
        <f t="shared" si="127"/>
        <v>22.85541490075934</v>
      </c>
      <c r="H448" s="120">
        <f t="shared" si="127"/>
        <v>23.735140379803966</v>
      </c>
      <c r="I448" s="120">
        <f t="shared" si="127"/>
        <v>24.266109827508586</v>
      </c>
      <c r="J448" s="120">
        <f t="shared" si="127"/>
        <v>24.0018328729813</v>
      </c>
      <c r="K448" s="120">
        <f t="shared" si="127"/>
        <v>23.56156870077185</v>
      </c>
      <c r="L448" s="120">
        <f t="shared" si="127"/>
        <v>24.328250850961055</v>
      </c>
      <c r="M448" s="120">
        <f t="shared" si="127"/>
        <v>24.528854379182064</v>
      </c>
      <c r="N448" s="121">
        <f t="shared" si="127"/>
        <v>22.7944630837624</v>
      </c>
      <c r="O448" s="122">
        <f>O444/O446</f>
        <v>23.98567486453646</v>
      </c>
      <c r="P448" s="132"/>
      <c r="Q448" s="1"/>
    </row>
    <row r="449" ht="11.25">
      <c r="P449" s="110"/>
    </row>
    <row r="450" ht="11.25">
      <c r="P450" s="110"/>
    </row>
    <row r="451" spans="1:19" ht="11.25">
      <c r="A451" s="7" t="s">
        <v>340</v>
      </c>
      <c r="B451" s="59"/>
      <c r="D451" s="231" t="s">
        <v>340</v>
      </c>
      <c r="E451" s="233"/>
      <c r="F451" s="233"/>
      <c r="G451" s="231" t="s">
        <v>340</v>
      </c>
      <c r="H451" s="233"/>
      <c r="I451" s="233"/>
      <c r="J451" s="233"/>
      <c r="K451" s="231" t="s">
        <v>340</v>
      </c>
      <c r="L451" s="233"/>
      <c r="M451" s="233"/>
      <c r="N451" s="231" t="s">
        <v>340</v>
      </c>
      <c r="O451" s="59"/>
      <c r="P451" s="59"/>
      <c r="Q451" s="59"/>
      <c r="R451" s="59"/>
      <c r="S451" s="59"/>
    </row>
    <row r="452" ht="11.25">
      <c r="P452" s="110"/>
    </row>
    <row r="453" ht="11.25">
      <c r="P453" s="110"/>
    </row>
    <row r="454" spans="1:19" ht="11.25">
      <c r="A454" s="41" t="s">
        <v>363</v>
      </c>
      <c r="B454" s="42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44"/>
      <c r="P454" s="84"/>
      <c r="Q454" s="43"/>
      <c r="R454" s="43"/>
      <c r="S454" s="43"/>
    </row>
    <row r="455" ht="11.25">
      <c r="P455" s="110"/>
    </row>
    <row r="456" spans="1:16" ht="11.25">
      <c r="A456" s="5" t="s">
        <v>341</v>
      </c>
      <c r="P456" s="110"/>
    </row>
    <row r="458" spans="1:16" ht="11.25">
      <c r="A458" s="155" t="s">
        <v>285</v>
      </c>
      <c r="B458" s="118"/>
      <c r="C458" s="156">
        <f>C423</f>
        <v>24.55068174610505</v>
      </c>
      <c r="D458" s="157">
        <f aca="true" t="shared" si="128" ref="D458:O458">D423</f>
        <v>27.140602277083268</v>
      </c>
      <c r="E458" s="157">
        <f t="shared" si="128"/>
        <v>25.645837610443287</v>
      </c>
      <c r="F458" s="157">
        <f t="shared" si="128"/>
        <v>22.740665314023985</v>
      </c>
      <c r="G458" s="157">
        <f t="shared" si="128"/>
        <v>22.389050516253228</v>
      </c>
      <c r="H458" s="157">
        <f t="shared" si="128"/>
        <v>22.644429169822406</v>
      </c>
      <c r="I458" s="157">
        <f t="shared" si="128"/>
        <v>23.309247311678508</v>
      </c>
      <c r="J458" s="157">
        <f t="shared" si="128"/>
        <v>23.30421557308648</v>
      </c>
      <c r="K458" s="157">
        <f t="shared" si="128"/>
        <v>23.06012352322811</v>
      </c>
      <c r="L458" s="157">
        <f t="shared" si="128"/>
        <v>24.333084017194864</v>
      </c>
      <c r="M458" s="157">
        <f t="shared" si="128"/>
        <v>24.58733279406708</v>
      </c>
      <c r="N458" s="158">
        <f t="shared" si="128"/>
        <v>23.57047635154287</v>
      </c>
      <c r="O458" s="159">
        <f t="shared" si="128"/>
        <v>23.950624076554348</v>
      </c>
      <c r="P458" s="132" t="s">
        <v>244</v>
      </c>
    </row>
    <row r="460" spans="1:16" ht="11.25">
      <c r="A460" s="3" t="s">
        <v>245</v>
      </c>
      <c r="N460" s="161"/>
      <c r="O460" s="256">
        <f>O444/(C458*C464+D458*D464+E458*E464+F458*F464+G458*G464+H458*H464+I458*I464+J458*J464+K458*K464+L458*L464+M458*M464+N458*N464)</f>
        <v>1.0001400533189024</v>
      </c>
      <c r="P460" s="132" t="s">
        <v>246</v>
      </c>
    </row>
    <row r="461" spans="15:16" ht="11.25">
      <c r="O461" s="145"/>
      <c r="P461" s="132"/>
    </row>
    <row r="462" spans="1:16" ht="11.25">
      <c r="A462" s="117" t="s">
        <v>346</v>
      </c>
      <c r="B462" s="118"/>
      <c r="C462" s="119">
        <f>$O$460*C458</f>
        <v>24.55412015056491</v>
      </c>
      <c r="D462" s="120">
        <f aca="true" t="shared" si="129" ref="D462:N462">$O$460*D458</f>
        <v>27.144403408509184</v>
      </c>
      <c r="E462" s="120">
        <f t="shared" si="129"/>
        <v>25.649429395116663</v>
      </c>
      <c r="F462" s="120">
        <f t="shared" si="129"/>
        <v>22.743850219675263</v>
      </c>
      <c r="G462" s="120">
        <f t="shared" si="129"/>
        <v>22.392186177085105</v>
      </c>
      <c r="H462" s="120">
        <f t="shared" si="129"/>
        <v>22.647600597282292</v>
      </c>
      <c r="I462" s="120">
        <f t="shared" si="129"/>
        <v>23.312511849125627</v>
      </c>
      <c r="J462" s="120">
        <f t="shared" si="129"/>
        <v>23.30747940582191</v>
      </c>
      <c r="K462" s="120">
        <f t="shared" si="129"/>
        <v>23.063353170061838</v>
      </c>
      <c r="L462" s="120">
        <f t="shared" si="129"/>
        <v>24.336491946370604</v>
      </c>
      <c r="M462" s="120">
        <f t="shared" si="129"/>
        <v>24.590776331627847</v>
      </c>
      <c r="N462" s="121">
        <f t="shared" si="129"/>
        <v>23.573777474984013</v>
      </c>
      <c r="O462" s="159">
        <f>O466/O464</f>
        <v>23.98567486453646</v>
      </c>
      <c r="P462" s="132" t="s">
        <v>247</v>
      </c>
    </row>
    <row r="464" spans="1:17" ht="11.25">
      <c r="A464" s="3" t="s">
        <v>242</v>
      </c>
      <c r="C464" s="113">
        <f>C$393</f>
        <v>2487068.8526099944</v>
      </c>
      <c r="D464" s="114">
        <f aca="true" t="shared" si="130" ref="D464:O464">D$393</f>
        <v>2438509.7444056342</v>
      </c>
      <c r="E464" s="114">
        <f t="shared" si="130"/>
        <v>2080961.8373600258</v>
      </c>
      <c r="F464" s="114">
        <f t="shared" si="130"/>
        <v>2071429.3328379635</v>
      </c>
      <c r="G464" s="114">
        <f t="shared" si="130"/>
        <v>2071815.7681234297</v>
      </c>
      <c r="H464" s="115">
        <f t="shared" si="130"/>
        <v>2188690.6580353575</v>
      </c>
      <c r="I464" s="114">
        <f t="shared" si="130"/>
        <v>2214778.992962022</v>
      </c>
      <c r="J464" s="114">
        <f t="shared" si="130"/>
        <v>2061686.698582105</v>
      </c>
      <c r="K464" s="114">
        <f t="shared" si="130"/>
        <v>2151582.6614674903</v>
      </c>
      <c r="L464" s="114">
        <f t="shared" si="130"/>
        <v>2067721.3107937044</v>
      </c>
      <c r="M464" s="114">
        <f t="shared" si="130"/>
        <v>2144934.3661793056</v>
      </c>
      <c r="N464" s="114">
        <f t="shared" si="130"/>
        <v>2247828.3069755384</v>
      </c>
      <c r="O464" s="116">
        <f t="shared" si="130"/>
        <v>26227008.530332573</v>
      </c>
      <c r="P464" s="132" t="s">
        <v>350</v>
      </c>
      <c r="Q464" s="1"/>
    </row>
    <row r="465" spans="3:15" ht="11.25"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111"/>
    </row>
    <row r="466" spans="1:17" ht="11.25">
      <c r="A466" s="38" t="s">
        <v>286</v>
      </c>
      <c r="B466" s="34"/>
      <c r="C466" s="78">
        <f>C462*C464</f>
        <v>61067787.42971341</v>
      </c>
      <c r="D466" s="78">
        <f aca="true" t="shared" si="131" ref="D466:N466">D462*D464</f>
        <v>66191892.217727154</v>
      </c>
      <c r="E466" s="78">
        <f t="shared" si="131"/>
        <v>53375483.721298225</v>
      </c>
      <c r="F466" s="78">
        <f t="shared" si="131"/>
        <v>47112278.4867085</v>
      </c>
      <c r="G466" s="78">
        <f t="shared" si="131"/>
        <v>46392484.40444042</v>
      </c>
      <c r="H466" s="78">
        <f t="shared" si="131"/>
        <v>49568591.854187734</v>
      </c>
      <c r="I466" s="78">
        <f t="shared" si="131"/>
        <v>51632061.51662166</v>
      </c>
      <c r="J466" s="78">
        <f t="shared" si="131"/>
        <v>48052720.26845937</v>
      </c>
      <c r="K466" s="78">
        <f t="shared" si="131"/>
        <v>49622710.79600633</v>
      </c>
      <c r="L466" s="78">
        <f t="shared" si="131"/>
        <v>50321083.02746985</v>
      </c>
      <c r="M466" s="78">
        <f t="shared" si="131"/>
        <v>52745601.244737245</v>
      </c>
      <c r="N466" s="78">
        <f t="shared" si="131"/>
        <v>52989804.3106114</v>
      </c>
      <c r="O466" s="134">
        <f>SUM(C466:N466)</f>
        <v>629072499.2779813</v>
      </c>
      <c r="P466" s="132" t="s">
        <v>263</v>
      </c>
      <c r="Q466" s="1"/>
    </row>
    <row r="467" spans="3:14" ht="11.25"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</row>
    <row r="469" spans="1:16" ht="11.25">
      <c r="A469" s="5" t="s">
        <v>342</v>
      </c>
      <c r="P469" s="110"/>
    </row>
    <row r="471" ht="11.25">
      <c r="A471" s="5" t="s">
        <v>344</v>
      </c>
    </row>
    <row r="472" spans="1:16" ht="11.25">
      <c r="A472" s="15" t="s">
        <v>254</v>
      </c>
      <c r="B472" s="30"/>
      <c r="C472" s="76">
        <f>$O472/12</f>
        <v>5232462.166666667</v>
      </c>
      <c r="D472" s="76">
        <f aca="true" t="shared" si="132" ref="D472:N473">$O472/12</f>
        <v>5232462.166666667</v>
      </c>
      <c r="E472" s="76">
        <f t="shared" si="132"/>
        <v>5232462.166666667</v>
      </c>
      <c r="F472" s="76">
        <f t="shared" si="132"/>
        <v>5232462.166666667</v>
      </c>
      <c r="G472" s="76">
        <f t="shared" si="132"/>
        <v>5232462.166666667</v>
      </c>
      <c r="H472" s="76">
        <f t="shared" si="132"/>
        <v>5232462.166666667</v>
      </c>
      <c r="I472" s="76">
        <f t="shared" si="132"/>
        <v>5232462.166666667</v>
      </c>
      <c r="J472" s="76">
        <f t="shared" si="132"/>
        <v>5232462.166666667</v>
      </c>
      <c r="K472" s="76">
        <f t="shared" si="132"/>
        <v>5232462.166666667</v>
      </c>
      <c r="L472" s="76">
        <f t="shared" si="132"/>
        <v>5232462.166666667</v>
      </c>
      <c r="M472" s="76">
        <f t="shared" si="132"/>
        <v>5232462.166666667</v>
      </c>
      <c r="N472" s="76">
        <f t="shared" si="132"/>
        <v>5232462.166666667</v>
      </c>
      <c r="O472" s="108">
        <v>62789546</v>
      </c>
      <c r="P472" s="132" t="s">
        <v>251</v>
      </c>
    </row>
    <row r="473" spans="1:16" ht="11.25">
      <c r="A473" s="18" t="s">
        <v>255</v>
      </c>
      <c r="B473" s="29"/>
      <c r="C473" s="59">
        <f>$O473/12</f>
        <v>642594.6666666666</v>
      </c>
      <c r="D473" s="59">
        <f t="shared" si="132"/>
        <v>642594.6666666666</v>
      </c>
      <c r="E473" s="59">
        <f t="shared" si="132"/>
        <v>642594.6666666666</v>
      </c>
      <c r="F473" s="59">
        <f t="shared" si="132"/>
        <v>642594.6666666666</v>
      </c>
      <c r="G473" s="59">
        <f t="shared" si="132"/>
        <v>642594.6666666666</v>
      </c>
      <c r="H473" s="59">
        <f t="shared" si="132"/>
        <v>642594.6666666666</v>
      </c>
      <c r="I473" s="59">
        <f t="shared" si="132"/>
        <v>642594.6666666666</v>
      </c>
      <c r="J473" s="59">
        <f t="shared" si="132"/>
        <v>642594.6666666666</v>
      </c>
      <c r="K473" s="59">
        <f t="shared" si="132"/>
        <v>642594.6666666666</v>
      </c>
      <c r="L473" s="59">
        <f t="shared" si="132"/>
        <v>642594.6666666666</v>
      </c>
      <c r="M473" s="59">
        <f t="shared" si="132"/>
        <v>642594.6666666666</v>
      </c>
      <c r="N473" s="59">
        <f t="shared" si="132"/>
        <v>642594.6666666666</v>
      </c>
      <c r="O473" s="109">
        <v>7711136</v>
      </c>
      <c r="P473" s="132" t="s">
        <v>252</v>
      </c>
    </row>
    <row r="474" spans="1:16" ht="11.25">
      <c r="A474" s="38" t="s">
        <v>256</v>
      </c>
      <c r="B474" s="34"/>
      <c r="C474" s="78">
        <f>SUM(C472:C473)</f>
        <v>5875056.833333334</v>
      </c>
      <c r="D474" s="78">
        <f aca="true" t="shared" si="133" ref="D474:O474">SUM(D472:D473)</f>
        <v>5875056.833333334</v>
      </c>
      <c r="E474" s="78">
        <f t="shared" si="133"/>
        <v>5875056.833333334</v>
      </c>
      <c r="F474" s="78">
        <f t="shared" si="133"/>
        <v>5875056.833333334</v>
      </c>
      <c r="G474" s="78">
        <f t="shared" si="133"/>
        <v>5875056.833333334</v>
      </c>
      <c r="H474" s="78">
        <f t="shared" si="133"/>
        <v>5875056.833333334</v>
      </c>
      <c r="I474" s="78">
        <f t="shared" si="133"/>
        <v>5875056.833333334</v>
      </c>
      <c r="J474" s="78">
        <f t="shared" si="133"/>
        <v>5875056.833333334</v>
      </c>
      <c r="K474" s="78">
        <f t="shared" si="133"/>
        <v>5875056.833333334</v>
      </c>
      <c r="L474" s="78">
        <f t="shared" si="133"/>
        <v>5875056.833333334</v>
      </c>
      <c r="M474" s="78">
        <f t="shared" si="133"/>
        <v>5875056.833333334</v>
      </c>
      <c r="N474" s="78">
        <f t="shared" si="133"/>
        <v>5875056.833333334</v>
      </c>
      <c r="O474" s="134">
        <f t="shared" si="133"/>
        <v>70500682</v>
      </c>
      <c r="P474" s="132" t="s">
        <v>253</v>
      </c>
    </row>
    <row r="476" ht="11.25">
      <c r="A476" s="5" t="s">
        <v>345</v>
      </c>
    </row>
    <row r="477" spans="1:16" ht="11.25">
      <c r="A477" s="15" t="s">
        <v>257</v>
      </c>
      <c r="B477" s="21" t="s">
        <v>61</v>
      </c>
      <c r="C477" s="76">
        <f aca="true" t="shared" si="134" ref="C477:N477">$O$429*C472</f>
        <v>2264824.750111459</v>
      </c>
      <c r="D477" s="76">
        <f t="shared" si="134"/>
        <v>2264824.750111459</v>
      </c>
      <c r="E477" s="76">
        <f t="shared" si="134"/>
        <v>2264824.750111459</v>
      </c>
      <c r="F477" s="76">
        <f t="shared" si="134"/>
        <v>2264824.750111459</v>
      </c>
      <c r="G477" s="76">
        <f t="shared" si="134"/>
        <v>2264824.750111459</v>
      </c>
      <c r="H477" s="76">
        <f t="shared" si="134"/>
        <v>2264824.750111459</v>
      </c>
      <c r="I477" s="76">
        <f t="shared" si="134"/>
        <v>2264824.750111459</v>
      </c>
      <c r="J477" s="76">
        <f t="shared" si="134"/>
        <v>2264824.750111459</v>
      </c>
      <c r="K477" s="76">
        <f t="shared" si="134"/>
        <v>2264824.750111459</v>
      </c>
      <c r="L477" s="76">
        <f t="shared" si="134"/>
        <v>2264824.750111459</v>
      </c>
      <c r="M477" s="76">
        <f t="shared" si="134"/>
        <v>2264824.750111459</v>
      </c>
      <c r="N477" s="76">
        <f t="shared" si="134"/>
        <v>2264824.750111459</v>
      </c>
      <c r="O477" s="126">
        <f>SUM(C477:N477)</f>
        <v>27177897.001337513</v>
      </c>
      <c r="P477" s="132"/>
    </row>
    <row r="478" spans="1:16" ht="11.25">
      <c r="A478" s="18" t="s">
        <v>258</v>
      </c>
      <c r="B478" s="27" t="s">
        <v>63</v>
      </c>
      <c r="C478" s="59">
        <f aca="true" t="shared" si="135" ref="C478:N478">$O$430*C473</f>
        <v>273659.60019161797</v>
      </c>
      <c r="D478" s="59">
        <f t="shared" si="135"/>
        <v>273659.60019161797</v>
      </c>
      <c r="E478" s="59">
        <f t="shared" si="135"/>
        <v>273659.60019161797</v>
      </c>
      <c r="F478" s="59">
        <f t="shared" si="135"/>
        <v>273659.60019161797</v>
      </c>
      <c r="G478" s="59">
        <f t="shared" si="135"/>
        <v>273659.60019161797</v>
      </c>
      <c r="H478" s="59">
        <f t="shared" si="135"/>
        <v>273659.60019161797</v>
      </c>
      <c r="I478" s="59">
        <f t="shared" si="135"/>
        <v>273659.60019161797</v>
      </c>
      <c r="J478" s="59">
        <f t="shared" si="135"/>
        <v>273659.60019161797</v>
      </c>
      <c r="K478" s="59">
        <f t="shared" si="135"/>
        <v>273659.60019161797</v>
      </c>
      <c r="L478" s="59">
        <f t="shared" si="135"/>
        <v>273659.60019161797</v>
      </c>
      <c r="M478" s="59">
        <f t="shared" si="135"/>
        <v>273659.60019161797</v>
      </c>
      <c r="N478" s="59">
        <f t="shared" si="135"/>
        <v>273659.60019161797</v>
      </c>
      <c r="O478" s="135">
        <f>SUM(C478:N478)</f>
        <v>3283915.2022994147</v>
      </c>
      <c r="P478" s="132"/>
    </row>
    <row r="479" spans="1:16" ht="11.25">
      <c r="A479" s="38" t="s">
        <v>259</v>
      </c>
      <c r="B479" s="34"/>
      <c r="C479" s="78">
        <f aca="true" t="shared" si="136" ref="C479:O479">SUM(C477:C478)</f>
        <v>2538484.3503030767</v>
      </c>
      <c r="D479" s="78">
        <f t="shared" si="136"/>
        <v>2538484.3503030767</v>
      </c>
      <c r="E479" s="78">
        <f t="shared" si="136"/>
        <v>2538484.3503030767</v>
      </c>
      <c r="F479" s="78">
        <f t="shared" si="136"/>
        <v>2538484.3503030767</v>
      </c>
      <c r="G479" s="78">
        <f t="shared" si="136"/>
        <v>2538484.3503030767</v>
      </c>
      <c r="H479" s="78">
        <f t="shared" si="136"/>
        <v>2538484.3503030767</v>
      </c>
      <c r="I479" s="78">
        <f t="shared" si="136"/>
        <v>2538484.3503030767</v>
      </c>
      <c r="J479" s="78">
        <f t="shared" si="136"/>
        <v>2538484.3503030767</v>
      </c>
      <c r="K479" s="78">
        <f t="shared" si="136"/>
        <v>2538484.3503030767</v>
      </c>
      <c r="L479" s="78">
        <f t="shared" si="136"/>
        <v>2538484.3503030767</v>
      </c>
      <c r="M479" s="78">
        <f t="shared" si="136"/>
        <v>2538484.3503030767</v>
      </c>
      <c r="N479" s="78">
        <f t="shared" si="136"/>
        <v>2538484.3503030767</v>
      </c>
      <c r="O479" s="134">
        <f t="shared" si="136"/>
        <v>30461812.20363693</v>
      </c>
      <c r="P479" s="132" t="s">
        <v>260</v>
      </c>
    </row>
    <row r="481" spans="1:17" ht="11.25">
      <c r="A481" s="3" t="s">
        <v>242</v>
      </c>
      <c r="C481" s="113">
        <f>C$393</f>
        <v>2487068.8526099944</v>
      </c>
      <c r="D481" s="114">
        <f aca="true" t="shared" si="137" ref="D481:O481">D$393</f>
        <v>2438509.7444056342</v>
      </c>
      <c r="E481" s="114">
        <f t="shared" si="137"/>
        <v>2080961.8373600258</v>
      </c>
      <c r="F481" s="114">
        <f t="shared" si="137"/>
        <v>2071429.3328379635</v>
      </c>
      <c r="G481" s="114">
        <f t="shared" si="137"/>
        <v>2071815.7681234297</v>
      </c>
      <c r="H481" s="115">
        <f t="shared" si="137"/>
        <v>2188690.6580353575</v>
      </c>
      <c r="I481" s="114">
        <f t="shared" si="137"/>
        <v>2214778.992962022</v>
      </c>
      <c r="J481" s="114">
        <f t="shared" si="137"/>
        <v>2061686.698582105</v>
      </c>
      <c r="K481" s="114">
        <f t="shared" si="137"/>
        <v>2151582.6614674903</v>
      </c>
      <c r="L481" s="114">
        <f t="shared" si="137"/>
        <v>2067721.3107937044</v>
      </c>
      <c r="M481" s="114">
        <f t="shared" si="137"/>
        <v>2144934.3661793056</v>
      </c>
      <c r="N481" s="114">
        <f t="shared" si="137"/>
        <v>2247828.3069755384</v>
      </c>
      <c r="O481" s="116">
        <f t="shared" si="137"/>
        <v>26227008.530332573</v>
      </c>
      <c r="P481" s="132"/>
      <c r="Q481" s="1"/>
    </row>
    <row r="483" spans="1:16" ht="11.25">
      <c r="A483" s="117" t="s">
        <v>261</v>
      </c>
      <c r="B483" s="118"/>
      <c r="C483" s="119">
        <f>C479/C481</f>
        <v>1.020673129993617</v>
      </c>
      <c r="D483" s="120">
        <f aca="true" t="shared" si="138" ref="D483:O483">D479/D481</f>
        <v>1.0409982392429644</v>
      </c>
      <c r="E483" s="120">
        <f t="shared" si="138"/>
        <v>1.21986107805008</v>
      </c>
      <c r="F483" s="120">
        <f t="shared" si="138"/>
        <v>1.2254747531383192</v>
      </c>
      <c r="G483" s="120">
        <f t="shared" si="138"/>
        <v>1.2252461774640981</v>
      </c>
      <c r="H483" s="120">
        <f t="shared" si="138"/>
        <v>1.1598186984458123</v>
      </c>
      <c r="I483" s="120">
        <f t="shared" si="138"/>
        <v>1.1461569566849352</v>
      </c>
      <c r="J483" s="120">
        <f t="shared" si="138"/>
        <v>1.2312658135927648</v>
      </c>
      <c r="K483" s="120">
        <f t="shared" si="138"/>
        <v>1.1798219030877017</v>
      </c>
      <c r="L483" s="120">
        <f t="shared" si="138"/>
        <v>1.2276723836292367</v>
      </c>
      <c r="M483" s="120">
        <f t="shared" si="138"/>
        <v>1.1834788002510248</v>
      </c>
      <c r="N483" s="121">
        <f t="shared" si="138"/>
        <v>1.1293052687456442</v>
      </c>
      <c r="O483" s="159">
        <f t="shared" si="138"/>
        <v>1.161467277840957</v>
      </c>
      <c r="P483" s="132"/>
    </row>
    <row r="484" spans="3:15" ht="11.25">
      <c r="C484" s="146"/>
      <c r="O484" s="146"/>
    </row>
    <row r="485" spans="3:15" ht="11.25">
      <c r="C485" s="146"/>
      <c r="O485" s="146"/>
    </row>
    <row r="486" spans="1:16" ht="11.25">
      <c r="A486" s="5" t="s">
        <v>343</v>
      </c>
      <c r="P486" s="110"/>
    </row>
    <row r="487" ht="11.25">
      <c r="A487" s="5"/>
    </row>
    <row r="488" spans="1:16" ht="11.25">
      <c r="A488" s="38" t="s">
        <v>265</v>
      </c>
      <c r="B488" s="34"/>
      <c r="C488" s="78">
        <f aca="true" t="shared" si="139" ref="C488:O488">C466-C479</f>
        <v>58529303.07941034</v>
      </c>
      <c r="D488" s="78">
        <f t="shared" si="139"/>
        <v>63653407.86742408</v>
      </c>
      <c r="E488" s="78">
        <f t="shared" si="139"/>
        <v>50836999.37099515</v>
      </c>
      <c r="F488" s="78">
        <f t="shared" si="139"/>
        <v>44573794.13640542</v>
      </c>
      <c r="G488" s="78">
        <f t="shared" si="139"/>
        <v>43854000.05413734</v>
      </c>
      <c r="H488" s="78">
        <f t="shared" si="139"/>
        <v>47030107.50388466</v>
      </c>
      <c r="I488" s="78">
        <f t="shared" si="139"/>
        <v>49093577.16631858</v>
      </c>
      <c r="J488" s="78">
        <f t="shared" si="139"/>
        <v>45514235.918156296</v>
      </c>
      <c r="K488" s="78">
        <f t="shared" si="139"/>
        <v>47084226.44570325</v>
      </c>
      <c r="L488" s="78">
        <f t="shared" si="139"/>
        <v>47782598.677166775</v>
      </c>
      <c r="M488" s="78">
        <f t="shared" si="139"/>
        <v>50207116.89443417</v>
      </c>
      <c r="N488" s="78">
        <f t="shared" si="139"/>
        <v>50451319.96030832</v>
      </c>
      <c r="O488" s="134">
        <f t="shared" si="139"/>
        <v>598610687.0743444</v>
      </c>
      <c r="P488" s="132" t="s">
        <v>262</v>
      </c>
    </row>
    <row r="489" spans="1:15" ht="11.25">
      <c r="A489" s="139"/>
      <c r="B489" s="2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7" ht="11.25">
      <c r="A490" s="139" t="s">
        <v>242</v>
      </c>
      <c r="B490" s="29"/>
      <c r="C490" s="114">
        <f>C$393</f>
        <v>2487068.8526099944</v>
      </c>
      <c r="D490" s="114">
        <f aca="true" t="shared" si="140" ref="D490:O490">D$393</f>
        <v>2438509.7444056342</v>
      </c>
      <c r="E490" s="114">
        <f t="shared" si="140"/>
        <v>2080961.8373600258</v>
      </c>
      <c r="F490" s="114">
        <f t="shared" si="140"/>
        <v>2071429.3328379635</v>
      </c>
      <c r="G490" s="114">
        <f t="shared" si="140"/>
        <v>2071815.7681234297</v>
      </c>
      <c r="H490" s="115">
        <f t="shared" si="140"/>
        <v>2188690.6580353575</v>
      </c>
      <c r="I490" s="114">
        <f t="shared" si="140"/>
        <v>2214778.992962022</v>
      </c>
      <c r="J490" s="114">
        <f t="shared" si="140"/>
        <v>2061686.698582105</v>
      </c>
      <c r="K490" s="114">
        <f t="shared" si="140"/>
        <v>2151582.6614674903</v>
      </c>
      <c r="L490" s="114">
        <f t="shared" si="140"/>
        <v>2067721.3107937044</v>
      </c>
      <c r="M490" s="114">
        <f t="shared" si="140"/>
        <v>2144934.3661793056</v>
      </c>
      <c r="N490" s="114">
        <f t="shared" si="140"/>
        <v>2247828.3069755384</v>
      </c>
      <c r="O490" s="116">
        <f t="shared" si="140"/>
        <v>26227008.530332573</v>
      </c>
      <c r="P490" s="132" t="s">
        <v>349</v>
      </c>
      <c r="Q490" s="1"/>
    </row>
    <row r="491" spans="1:15" ht="11.25">
      <c r="A491" s="139"/>
      <c r="B491" s="2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6" ht="11.25">
      <c r="A492" s="155" t="s">
        <v>266</v>
      </c>
      <c r="B492" s="118"/>
      <c r="C492" s="156">
        <f aca="true" t="shared" si="141" ref="C492:O492">C488/C490</f>
        <v>23.533447020571295</v>
      </c>
      <c r="D492" s="157">
        <f t="shared" si="141"/>
        <v>26.103405169266217</v>
      </c>
      <c r="E492" s="157">
        <f t="shared" si="141"/>
        <v>24.429568317066582</v>
      </c>
      <c r="F492" s="157">
        <f t="shared" si="141"/>
        <v>21.518375466536945</v>
      </c>
      <c r="G492" s="157">
        <f t="shared" si="141"/>
        <v>21.166939999621004</v>
      </c>
      <c r="H492" s="157">
        <f t="shared" si="141"/>
        <v>21.48778189883648</v>
      </c>
      <c r="I492" s="157">
        <f t="shared" si="141"/>
        <v>22.16635489244069</v>
      </c>
      <c r="J492" s="157">
        <f t="shared" si="141"/>
        <v>22.07621359222914</v>
      </c>
      <c r="K492" s="157">
        <f t="shared" si="141"/>
        <v>21.88353126697414</v>
      </c>
      <c r="L492" s="157">
        <f t="shared" si="141"/>
        <v>23.108819562741367</v>
      </c>
      <c r="M492" s="157">
        <f t="shared" si="141"/>
        <v>23.407297531376823</v>
      </c>
      <c r="N492" s="158">
        <f t="shared" si="141"/>
        <v>22.44447220623837</v>
      </c>
      <c r="O492" s="159">
        <f t="shared" si="141"/>
        <v>22.824207586695504</v>
      </c>
      <c r="P492" s="132" t="s">
        <v>264</v>
      </c>
    </row>
    <row r="493" spans="1:15" ht="11.25">
      <c r="A493" s="139"/>
      <c r="B493" s="2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9" ht="11.25">
      <c r="A494" s="143" t="s">
        <v>365</v>
      </c>
      <c r="B494" s="140"/>
      <c r="C494" s="141"/>
      <c r="D494" s="255" t="s">
        <v>365</v>
      </c>
      <c r="E494" s="143"/>
      <c r="F494" s="141"/>
      <c r="G494" s="255" t="s">
        <v>365</v>
      </c>
      <c r="H494" s="141"/>
      <c r="I494" s="143"/>
      <c r="J494" s="141"/>
      <c r="K494" s="255" t="s">
        <v>365</v>
      </c>
      <c r="L494" s="141"/>
      <c r="M494" s="141"/>
      <c r="N494" s="255" t="s">
        <v>365</v>
      </c>
      <c r="O494" s="142"/>
      <c r="P494" s="142"/>
      <c r="Q494" s="255" t="s">
        <v>365</v>
      </c>
      <c r="R494" s="142"/>
      <c r="S494" s="14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94"/>
  <sheetViews>
    <sheetView zoomScale="90" zoomScaleNormal="90" zoomScalePageLayoutView="0" workbookViewId="0" topLeftCell="A1">
      <pane xSplit="2" ySplit="4" topLeftCell="C39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13" sqref="C413"/>
    </sheetView>
  </sheetViews>
  <sheetFormatPr defaultColWidth="9.140625" defaultRowHeight="12.75"/>
  <cols>
    <col min="1" max="1" width="35.57421875" style="3" customWidth="1"/>
    <col min="2" max="2" width="15.00390625" style="10" customWidth="1"/>
    <col min="3" max="3" width="13.7109375" style="50" customWidth="1"/>
    <col min="4" max="14" width="11.7109375" style="50" customWidth="1"/>
    <col min="15" max="15" width="13.421875" style="4" customWidth="1"/>
    <col min="16" max="16" width="11.7109375" style="49" customWidth="1"/>
    <col min="17" max="17" width="11.7109375" style="3" customWidth="1"/>
    <col min="18" max="18" width="13.421875" style="3" customWidth="1"/>
    <col min="19" max="19" width="10.421875" style="3" customWidth="1"/>
    <col min="20" max="20" width="9.140625" style="3" customWidth="1"/>
    <col min="21" max="21" width="10.140625" style="3" bestFit="1" customWidth="1"/>
    <col min="22" max="16384" width="9.140625" style="3" customWidth="1"/>
  </cols>
  <sheetData>
    <row r="2" spans="1:19" ht="11.25">
      <c r="A2" s="41" t="s">
        <v>382</v>
      </c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84"/>
      <c r="Q2" s="40"/>
      <c r="R2" s="40"/>
      <c r="S2" s="40"/>
    </row>
    <row r="4" spans="1:16" ht="11.25">
      <c r="A4" s="2"/>
      <c r="B4" s="238"/>
      <c r="C4" s="278" t="s">
        <v>121</v>
      </c>
      <c r="D4" s="224" t="s">
        <v>122</v>
      </c>
      <c r="E4" s="53" t="s">
        <v>123</v>
      </c>
      <c r="F4" s="53" t="s">
        <v>124</v>
      </c>
      <c r="G4" s="53" t="s">
        <v>125</v>
      </c>
      <c r="H4" s="53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4" t="s">
        <v>132</v>
      </c>
      <c r="O4" s="31" t="s">
        <v>120</v>
      </c>
      <c r="P4" s="154" t="s">
        <v>309</v>
      </c>
    </row>
    <row r="5" spans="1:16" ht="11.25">
      <c r="A5" s="236" t="s">
        <v>133</v>
      </c>
      <c r="B5" s="237" t="s">
        <v>304</v>
      </c>
      <c r="C5" s="55"/>
      <c r="D5" s="56"/>
      <c r="E5" s="56"/>
      <c r="F5" s="56"/>
      <c r="G5" s="56"/>
      <c r="H5" s="235"/>
      <c r="I5" s="56"/>
      <c r="J5" s="56"/>
      <c r="K5" s="56"/>
      <c r="L5" s="56"/>
      <c r="M5" s="56"/>
      <c r="N5" s="57"/>
      <c r="O5" s="32"/>
      <c r="P5" s="154"/>
    </row>
    <row r="6" spans="2:15" ht="11.25">
      <c r="B6" s="29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2"/>
    </row>
    <row r="7" spans="1:15" ht="11.25">
      <c r="A7" s="3" t="s">
        <v>95</v>
      </c>
      <c r="B7" s="29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3"/>
    </row>
    <row r="8" spans="1:15" ht="11.25">
      <c r="A8" s="3" t="s">
        <v>96</v>
      </c>
      <c r="B8" s="2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33"/>
    </row>
    <row r="9" spans="1:16" ht="11.25">
      <c r="A9" s="3" t="s">
        <v>97</v>
      </c>
      <c r="B9" s="29" t="s">
        <v>24</v>
      </c>
      <c r="C9" s="61">
        <v>1072770.409</v>
      </c>
      <c r="D9" s="62">
        <v>1085429.535</v>
      </c>
      <c r="E9" s="62">
        <v>1063427.607</v>
      </c>
      <c r="F9" s="62">
        <v>1080389.8620000002</v>
      </c>
      <c r="G9" s="62">
        <v>1060944.527</v>
      </c>
      <c r="H9" s="62">
        <v>1084310.262</v>
      </c>
      <c r="I9" s="62">
        <v>1079149.8620000002</v>
      </c>
      <c r="J9" s="62">
        <v>1055669.1030000001</v>
      </c>
      <c r="K9" s="62">
        <v>1071850.305</v>
      </c>
      <c r="L9" s="62">
        <v>1064567.1269999999</v>
      </c>
      <c r="M9" s="62">
        <v>1078918.8879999998</v>
      </c>
      <c r="N9" s="63">
        <v>1029335.4539999999</v>
      </c>
      <c r="O9" s="162">
        <f>SUM(C9:N9)</f>
        <v>12826762.941000002</v>
      </c>
      <c r="P9" s="85"/>
    </row>
    <row r="10" spans="1:16" ht="11.25">
      <c r="A10" s="3" t="s">
        <v>98</v>
      </c>
      <c r="B10" s="29"/>
      <c r="C10" s="61">
        <v>129294.18</v>
      </c>
      <c r="D10" s="62">
        <v>122556.01</v>
      </c>
      <c r="E10" s="62">
        <v>161173.33</v>
      </c>
      <c r="F10" s="62">
        <v>235563.88</v>
      </c>
      <c r="G10" s="62">
        <v>296703.84</v>
      </c>
      <c r="H10" s="62">
        <v>347897.8</v>
      </c>
      <c r="I10" s="62">
        <v>340042.34</v>
      </c>
      <c r="J10" s="62">
        <v>294963.12</v>
      </c>
      <c r="K10" s="62">
        <v>276011.03</v>
      </c>
      <c r="L10" s="62">
        <v>214371.2</v>
      </c>
      <c r="M10" s="62">
        <v>202375.77</v>
      </c>
      <c r="N10" s="63">
        <v>164142.97</v>
      </c>
      <c r="O10" s="162">
        <f aca="true" t="shared" si="0" ref="O10:O18">SUM(C10:N10)</f>
        <v>2785095.4700000007</v>
      </c>
      <c r="P10" s="85"/>
    </row>
    <row r="11" spans="1:16" ht="11.25">
      <c r="A11" s="3" t="s">
        <v>99</v>
      </c>
      <c r="B11" s="29"/>
      <c r="C11" s="61">
        <v>1032.3542</v>
      </c>
      <c r="D11" s="62">
        <v>1032.3542</v>
      </c>
      <c r="E11" s="62">
        <v>1032.3605</v>
      </c>
      <c r="F11" s="62">
        <v>1032.3542</v>
      </c>
      <c r="G11" s="62">
        <v>1032.3605</v>
      </c>
      <c r="H11" s="62">
        <v>1032.3542</v>
      </c>
      <c r="I11" s="62">
        <v>1032.3542</v>
      </c>
      <c r="J11" s="62">
        <v>1032.3582</v>
      </c>
      <c r="K11" s="62">
        <v>1032.3542</v>
      </c>
      <c r="L11" s="62">
        <v>1032.3605</v>
      </c>
      <c r="M11" s="62">
        <v>1032.3542</v>
      </c>
      <c r="N11" s="63">
        <v>1032.3605</v>
      </c>
      <c r="O11" s="162">
        <f t="shared" si="0"/>
        <v>12388.2796</v>
      </c>
      <c r="P11" s="85"/>
    </row>
    <row r="12" spans="1:16" ht="11.25">
      <c r="A12" s="3" t="s">
        <v>100</v>
      </c>
      <c r="B12" s="29" t="s">
        <v>25</v>
      </c>
      <c r="C12" s="61">
        <v>2164955.2</v>
      </c>
      <c r="D12" s="62">
        <v>2164955.2</v>
      </c>
      <c r="E12" s="62">
        <v>2095115.4</v>
      </c>
      <c r="F12" s="62">
        <v>2164955.2</v>
      </c>
      <c r="G12" s="62">
        <v>2095115.4</v>
      </c>
      <c r="H12" s="62">
        <v>2164955.2</v>
      </c>
      <c r="I12" s="62">
        <v>2164955.2</v>
      </c>
      <c r="J12" s="62">
        <v>1955435.2</v>
      </c>
      <c r="K12" s="62">
        <v>2164955.2</v>
      </c>
      <c r="L12" s="62">
        <v>2095115.4</v>
      </c>
      <c r="M12" s="62">
        <v>2164955.2</v>
      </c>
      <c r="N12" s="63">
        <v>2095115.4</v>
      </c>
      <c r="O12" s="162">
        <f t="shared" si="0"/>
        <v>25490583.199999996</v>
      </c>
      <c r="P12" s="85"/>
    </row>
    <row r="13" spans="1:16" ht="11.25">
      <c r="A13" s="3" t="s">
        <v>101</v>
      </c>
      <c r="B13" s="29"/>
      <c r="C13" s="61">
        <v>951390</v>
      </c>
      <c r="D13" s="62">
        <v>1053690</v>
      </c>
      <c r="E13" s="62">
        <v>2423231.2</v>
      </c>
      <c r="F13" s="62">
        <v>3946680</v>
      </c>
      <c r="G13" s="62">
        <v>3762720</v>
      </c>
      <c r="H13" s="62">
        <v>4151412</v>
      </c>
      <c r="I13" s="62">
        <v>4170900</v>
      </c>
      <c r="J13" s="62">
        <v>3846392</v>
      </c>
      <c r="K13" s="62">
        <v>3977145</v>
      </c>
      <c r="L13" s="62">
        <v>3313920</v>
      </c>
      <c r="M13" s="62">
        <v>3527760</v>
      </c>
      <c r="N13" s="63">
        <v>2235888</v>
      </c>
      <c r="O13" s="162">
        <f t="shared" si="0"/>
        <v>37361128.2</v>
      </c>
      <c r="P13" s="85"/>
    </row>
    <row r="14" spans="1:16" ht="11.25">
      <c r="A14" s="3" t="s">
        <v>102</v>
      </c>
      <c r="B14" s="29"/>
      <c r="C14" s="61">
        <v>0</v>
      </c>
      <c r="D14" s="62">
        <v>0</v>
      </c>
      <c r="E14" s="62">
        <v>0</v>
      </c>
      <c r="F14" s="62">
        <v>2647596</v>
      </c>
      <c r="G14" s="62">
        <v>2826000</v>
      </c>
      <c r="H14" s="62">
        <v>3196404</v>
      </c>
      <c r="I14" s="62">
        <v>3014140</v>
      </c>
      <c r="J14" s="62">
        <v>2755200</v>
      </c>
      <c r="K14" s="62">
        <v>2748420</v>
      </c>
      <c r="L14" s="62">
        <v>2192255</v>
      </c>
      <c r="M14" s="62">
        <v>1827952</v>
      </c>
      <c r="N14" s="63">
        <v>1831744.5</v>
      </c>
      <c r="O14" s="162">
        <f t="shared" si="0"/>
        <v>23039711.5</v>
      </c>
      <c r="P14" s="85"/>
    </row>
    <row r="15" spans="1:16" ht="11.25">
      <c r="A15" s="3" t="s">
        <v>103</v>
      </c>
      <c r="B15" s="29"/>
      <c r="C15" s="61">
        <v>1570890.4</v>
      </c>
      <c r="D15" s="62">
        <v>1570890.2</v>
      </c>
      <c r="E15" s="62">
        <v>1474824.9</v>
      </c>
      <c r="F15" s="62">
        <v>1524110.2</v>
      </c>
      <c r="G15" s="62">
        <v>1443081.1</v>
      </c>
      <c r="H15" s="62">
        <v>1570890.1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0</v>
      </c>
      <c r="O15" s="162">
        <f t="shared" si="0"/>
        <v>9154686.9</v>
      </c>
      <c r="P15" s="85"/>
    </row>
    <row r="16" spans="1:16" ht="11.25">
      <c r="A16" s="3" t="s">
        <v>104</v>
      </c>
      <c r="B16" s="29"/>
      <c r="C16" s="61">
        <v>0</v>
      </c>
      <c r="D16" s="62">
        <v>0</v>
      </c>
      <c r="E16" s="62">
        <v>0</v>
      </c>
      <c r="F16" s="62">
        <v>1315560</v>
      </c>
      <c r="G16" s="62">
        <v>1254240</v>
      </c>
      <c r="H16" s="62">
        <v>1383804</v>
      </c>
      <c r="I16" s="62">
        <v>1390300</v>
      </c>
      <c r="J16" s="62">
        <v>1282125</v>
      </c>
      <c r="K16" s="62">
        <v>1325721</v>
      </c>
      <c r="L16" s="62">
        <v>1104640</v>
      </c>
      <c r="M16" s="62">
        <v>1175920</v>
      </c>
      <c r="N16" s="63">
        <v>1280112</v>
      </c>
      <c r="O16" s="162">
        <f t="shared" si="0"/>
        <v>11512422</v>
      </c>
      <c r="P16" s="85"/>
    </row>
    <row r="17" spans="1:16" ht="11.25">
      <c r="A17" s="3" t="s">
        <v>105</v>
      </c>
      <c r="B17" s="29" t="s">
        <v>24</v>
      </c>
      <c r="C17" s="61">
        <v>1446492</v>
      </c>
      <c r="D17" s="62">
        <v>1329996</v>
      </c>
      <c r="E17" s="62">
        <v>271824</v>
      </c>
      <c r="F17" s="62">
        <v>0</v>
      </c>
      <c r="G17" s="62">
        <v>0</v>
      </c>
      <c r="H17" s="62">
        <v>0</v>
      </c>
      <c r="I17" s="62">
        <v>1152825</v>
      </c>
      <c r="J17" s="62">
        <v>1077588</v>
      </c>
      <c r="K17" s="62">
        <v>881001</v>
      </c>
      <c r="L17" s="62">
        <v>885855</v>
      </c>
      <c r="M17" s="62">
        <v>698976</v>
      </c>
      <c r="N17" s="63">
        <v>759651</v>
      </c>
      <c r="O17" s="162">
        <f t="shared" si="0"/>
        <v>8504208</v>
      </c>
      <c r="P17" s="85"/>
    </row>
    <row r="18" spans="1:16" ht="11.25">
      <c r="A18" s="2" t="s">
        <v>106</v>
      </c>
      <c r="B18" s="13"/>
      <c r="C18" s="64">
        <v>1759803</v>
      </c>
      <c r="D18" s="65">
        <v>1400150.4</v>
      </c>
      <c r="E18" s="65">
        <v>792639.75</v>
      </c>
      <c r="F18" s="65">
        <v>593282.5</v>
      </c>
      <c r="G18" s="65">
        <v>582824.5</v>
      </c>
      <c r="H18" s="65">
        <v>593282.5</v>
      </c>
      <c r="I18" s="65">
        <v>593282.5</v>
      </c>
      <c r="J18" s="65">
        <v>572366.5</v>
      </c>
      <c r="K18" s="65">
        <v>593282.5</v>
      </c>
      <c r="L18" s="65">
        <v>545931</v>
      </c>
      <c r="M18" s="65">
        <v>571495</v>
      </c>
      <c r="N18" s="66">
        <v>917178.56</v>
      </c>
      <c r="O18" s="163">
        <f t="shared" si="0"/>
        <v>9515518.71</v>
      </c>
      <c r="P18" s="85"/>
    </row>
    <row r="19" spans="1:15" ht="11.25">
      <c r="A19" s="3" t="s">
        <v>107</v>
      </c>
      <c r="C19" s="58">
        <f aca="true" t="shared" si="1" ref="C19:N19">SUM(C9:C18)</f>
        <v>9096627.5432</v>
      </c>
      <c r="D19" s="59">
        <f t="shared" si="1"/>
        <v>8728699.6992</v>
      </c>
      <c r="E19" s="59">
        <f t="shared" si="1"/>
        <v>8283268.547499999</v>
      </c>
      <c r="F19" s="59">
        <f t="shared" si="1"/>
        <v>13509169.996199999</v>
      </c>
      <c r="G19" s="59">
        <f t="shared" si="1"/>
        <v>13322661.7275</v>
      </c>
      <c r="H19" s="59">
        <f t="shared" si="1"/>
        <v>14493988.2162</v>
      </c>
      <c r="I19" s="59">
        <f t="shared" si="1"/>
        <v>13906627.2562</v>
      </c>
      <c r="J19" s="59">
        <f t="shared" si="1"/>
        <v>12840771.2812</v>
      </c>
      <c r="K19" s="59">
        <f t="shared" si="1"/>
        <v>13039418.3892</v>
      </c>
      <c r="L19" s="59">
        <f t="shared" si="1"/>
        <v>11417687.087499999</v>
      </c>
      <c r="M19" s="59">
        <f t="shared" si="1"/>
        <v>11249385.2122</v>
      </c>
      <c r="N19" s="60">
        <f t="shared" si="1"/>
        <v>10314200.2445</v>
      </c>
      <c r="O19" s="80">
        <f>SUM(O9:O18)</f>
        <v>140202505.2006</v>
      </c>
    </row>
    <row r="20" spans="3:15" ht="11.25"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80"/>
    </row>
    <row r="21" spans="1:15" ht="11.25">
      <c r="A21" s="3" t="s">
        <v>64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0"/>
    </row>
    <row r="22" spans="1:16" ht="11.25">
      <c r="A22" s="3" t="s">
        <v>108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1176480</v>
      </c>
      <c r="J22" s="62">
        <v>1012320</v>
      </c>
      <c r="K22" s="62">
        <v>1067040</v>
      </c>
      <c r="L22" s="62">
        <v>0</v>
      </c>
      <c r="M22" s="62">
        <v>0</v>
      </c>
      <c r="N22" s="63">
        <v>0</v>
      </c>
      <c r="O22" s="162">
        <f aca="true" t="shared" si="2" ref="O22:O28">SUM(C22:N22)</f>
        <v>3255840</v>
      </c>
      <c r="P22" s="85"/>
    </row>
    <row r="23" spans="1:16" ht="11.25">
      <c r="A23" s="3" t="s">
        <v>109</v>
      </c>
      <c r="C23" s="61">
        <v>1290000</v>
      </c>
      <c r="D23" s="62">
        <v>1170000</v>
      </c>
      <c r="E23" s="62">
        <v>1200000</v>
      </c>
      <c r="F23" s="62">
        <v>1230000</v>
      </c>
      <c r="G23" s="62">
        <v>1200000</v>
      </c>
      <c r="H23" s="62">
        <v>1230000</v>
      </c>
      <c r="I23" s="62">
        <v>1502850</v>
      </c>
      <c r="J23" s="62">
        <v>1293150</v>
      </c>
      <c r="K23" s="62">
        <v>1363050</v>
      </c>
      <c r="L23" s="62">
        <v>0</v>
      </c>
      <c r="M23" s="62">
        <v>0</v>
      </c>
      <c r="N23" s="63">
        <v>0</v>
      </c>
      <c r="O23" s="162">
        <f t="shared" si="2"/>
        <v>11479050</v>
      </c>
      <c r="P23" s="85"/>
    </row>
    <row r="24" spans="1:16" ht="11.25">
      <c r="A24" s="3" t="s">
        <v>110</v>
      </c>
      <c r="C24" s="61">
        <v>714250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  <c r="O24" s="162">
        <f t="shared" si="2"/>
        <v>714250</v>
      </c>
      <c r="P24" s="85"/>
    </row>
    <row r="25" spans="1:16" ht="11.25">
      <c r="A25" s="3" t="s">
        <v>111</v>
      </c>
      <c r="C25" s="61">
        <v>397750</v>
      </c>
      <c r="D25" s="62">
        <v>360750</v>
      </c>
      <c r="E25" s="62">
        <v>832500</v>
      </c>
      <c r="F25" s="62">
        <v>1128800</v>
      </c>
      <c r="G25" s="62">
        <v>1094500</v>
      </c>
      <c r="H25" s="62">
        <v>1128800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162">
        <f t="shared" si="2"/>
        <v>4943100</v>
      </c>
      <c r="P25" s="85"/>
    </row>
    <row r="26" spans="1:16" ht="11.25">
      <c r="A26" s="3" t="s">
        <v>112</v>
      </c>
      <c r="C26" s="61">
        <v>0</v>
      </c>
      <c r="D26" s="62">
        <v>0</v>
      </c>
      <c r="E26" s="62">
        <v>830000</v>
      </c>
      <c r="F26" s="62">
        <v>1671800</v>
      </c>
      <c r="G26" s="62">
        <v>1607500</v>
      </c>
      <c r="H26" s="62">
        <v>1671800</v>
      </c>
      <c r="I26" s="62">
        <v>2355500</v>
      </c>
      <c r="J26" s="62">
        <v>3009500</v>
      </c>
      <c r="K26" s="62">
        <v>2369100</v>
      </c>
      <c r="L26" s="62">
        <v>3860000</v>
      </c>
      <c r="M26" s="62">
        <v>4007800</v>
      </c>
      <c r="N26" s="63">
        <v>3974800</v>
      </c>
      <c r="O26" s="162">
        <f t="shared" si="2"/>
        <v>25357800</v>
      </c>
      <c r="P26" s="85"/>
    </row>
    <row r="27" spans="1:16" ht="11.25">
      <c r="A27" s="3" t="s">
        <v>116</v>
      </c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162">
        <f t="shared" si="2"/>
        <v>0</v>
      </c>
      <c r="P27" s="85"/>
    </row>
    <row r="28" spans="1:16" ht="11.25">
      <c r="A28" s="2" t="s">
        <v>117</v>
      </c>
      <c r="B28" s="13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6">
        <v>0</v>
      </c>
      <c r="O28" s="163">
        <f t="shared" si="2"/>
        <v>0</v>
      </c>
      <c r="P28" s="85"/>
    </row>
    <row r="29" spans="1:15" ht="11.25">
      <c r="A29" s="3" t="s">
        <v>113</v>
      </c>
      <c r="C29" s="58">
        <f aca="true" t="shared" si="3" ref="C29:N29">SUM(C22:C28)</f>
        <v>2402000</v>
      </c>
      <c r="D29" s="59">
        <f t="shared" si="3"/>
        <v>1530750</v>
      </c>
      <c r="E29" s="59">
        <f t="shared" si="3"/>
        <v>2862500</v>
      </c>
      <c r="F29" s="59">
        <f t="shared" si="3"/>
        <v>4030600</v>
      </c>
      <c r="G29" s="59">
        <f t="shared" si="3"/>
        <v>3902000</v>
      </c>
      <c r="H29" s="59">
        <f t="shared" si="3"/>
        <v>4030600</v>
      </c>
      <c r="I29" s="59">
        <f t="shared" si="3"/>
        <v>5034830</v>
      </c>
      <c r="J29" s="59">
        <f t="shared" si="3"/>
        <v>5314970</v>
      </c>
      <c r="K29" s="59">
        <f t="shared" si="3"/>
        <v>4799190</v>
      </c>
      <c r="L29" s="59">
        <f t="shared" si="3"/>
        <v>3860000</v>
      </c>
      <c r="M29" s="59">
        <f t="shared" si="3"/>
        <v>4007800</v>
      </c>
      <c r="N29" s="60">
        <f t="shared" si="3"/>
        <v>3974800</v>
      </c>
      <c r="O29" s="80">
        <f>SUM(O22:O28)</f>
        <v>45750040</v>
      </c>
    </row>
    <row r="30" spans="3:15" ht="11.2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80"/>
    </row>
    <row r="31" spans="1:15" ht="11.25">
      <c r="A31" s="3" t="s">
        <v>65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80"/>
    </row>
    <row r="32" spans="1:16" ht="11.25">
      <c r="A32" s="3" t="s">
        <v>108</v>
      </c>
      <c r="C32" s="277">
        <v>1592419.6</v>
      </c>
      <c r="D32" s="264">
        <v>4604230</v>
      </c>
      <c r="E32" s="62">
        <v>4223937</v>
      </c>
      <c r="F32" s="62">
        <v>4891436.5</v>
      </c>
      <c r="G32" s="62">
        <v>7208540.5</v>
      </c>
      <c r="H32" s="62">
        <v>7458728.5</v>
      </c>
      <c r="I32" s="62">
        <v>5549120</v>
      </c>
      <c r="J32" s="62">
        <v>4197077</v>
      </c>
      <c r="K32" s="62">
        <v>4523329</v>
      </c>
      <c r="L32" s="62">
        <v>2663849.2</v>
      </c>
      <c r="M32" s="62">
        <v>281246.8</v>
      </c>
      <c r="N32" s="63">
        <v>496726.47</v>
      </c>
      <c r="O32" s="162">
        <f aca="true" t="shared" si="4" ref="O32:O38">SUM(C32:N32)</f>
        <v>47690640.57</v>
      </c>
      <c r="P32" s="3">
        <f>O32-'Base Forecast'!O32</f>
        <v>-39051.29999999702</v>
      </c>
    </row>
    <row r="33" spans="1:16" ht="11.25">
      <c r="A33" s="3" t="s">
        <v>109</v>
      </c>
      <c r="C33" s="277">
        <v>9847304</v>
      </c>
      <c r="D33" s="62">
        <v>12319621</v>
      </c>
      <c r="E33" s="62">
        <v>7952793</v>
      </c>
      <c r="F33" s="62">
        <v>9134950</v>
      </c>
      <c r="G33" s="62">
        <v>6511407.5</v>
      </c>
      <c r="H33" s="62">
        <v>9627442</v>
      </c>
      <c r="I33" s="62">
        <v>6798242.5</v>
      </c>
      <c r="J33" s="62">
        <v>7748045.5</v>
      </c>
      <c r="K33" s="62">
        <v>5867974</v>
      </c>
      <c r="L33" s="62">
        <v>5839662</v>
      </c>
      <c r="M33" s="62">
        <v>4339882.5</v>
      </c>
      <c r="N33" s="63">
        <v>5356489.5</v>
      </c>
      <c r="O33" s="162">
        <f t="shared" si="4"/>
        <v>91343813.5</v>
      </c>
      <c r="P33" s="3">
        <f>O33-'Base Forecast'!O33</f>
        <v>-530287</v>
      </c>
    </row>
    <row r="34" spans="1:16" ht="11.25">
      <c r="A34" s="3" t="s">
        <v>110</v>
      </c>
      <c r="C34" s="61">
        <v>787890.2</v>
      </c>
      <c r="D34" s="264">
        <v>1871233.9</v>
      </c>
      <c r="E34" s="62">
        <v>6655260.5</v>
      </c>
      <c r="F34" s="62">
        <v>4946927.5</v>
      </c>
      <c r="G34" s="62">
        <v>7666481.5</v>
      </c>
      <c r="H34" s="62">
        <v>10079641</v>
      </c>
      <c r="I34" s="62">
        <v>3370006</v>
      </c>
      <c r="J34" s="62">
        <v>1181436.9</v>
      </c>
      <c r="K34" s="62">
        <v>1826599.6</v>
      </c>
      <c r="L34" s="62">
        <v>869858.94</v>
      </c>
      <c r="M34" s="62">
        <v>0</v>
      </c>
      <c r="N34" s="63">
        <v>7653.116</v>
      </c>
      <c r="O34" s="162">
        <f t="shared" si="4"/>
        <v>39262989.155999996</v>
      </c>
      <c r="P34" s="294">
        <f>O34-'Base Forecast'!O34</f>
        <v>0.3999999985098839</v>
      </c>
    </row>
    <row r="35" spans="1:16" ht="11.25">
      <c r="A35" s="3" t="s">
        <v>111</v>
      </c>
      <c r="C35" s="277">
        <v>2553189.2</v>
      </c>
      <c r="D35" s="264">
        <v>4514420</v>
      </c>
      <c r="E35" s="62">
        <v>3558354.5</v>
      </c>
      <c r="F35" s="62">
        <v>2172966</v>
      </c>
      <c r="G35" s="62">
        <v>1289190</v>
      </c>
      <c r="H35" s="62">
        <v>1100472.4</v>
      </c>
      <c r="I35" s="62">
        <v>2305427.5</v>
      </c>
      <c r="J35" s="62">
        <v>1795227.2</v>
      </c>
      <c r="K35" s="62">
        <v>1135612.1</v>
      </c>
      <c r="L35" s="62">
        <v>103226.555</v>
      </c>
      <c r="M35" s="62">
        <v>876422.1</v>
      </c>
      <c r="N35" s="63">
        <v>1417290</v>
      </c>
      <c r="O35" s="162">
        <f t="shared" si="4"/>
        <v>22821797.555000003</v>
      </c>
      <c r="P35" s="3">
        <f>O35-'Base Forecast'!O35</f>
        <v>-246137.5</v>
      </c>
    </row>
    <row r="36" spans="1:16" ht="11.25">
      <c r="A36" s="3" t="s">
        <v>112</v>
      </c>
      <c r="C36" s="277">
        <v>7516490.5</v>
      </c>
      <c r="D36" s="264">
        <v>6202499</v>
      </c>
      <c r="E36" s="62">
        <v>6771073.5</v>
      </c>
      <c r="F36" s="62">
        <v>9260488</v>
      </c>
      <c r="G36" s="62">
        <v>7657511.5</v>
      </c>
      <c r="H36" s="62">
        <v>9229408</v>
      </c>
      <c r="I36" s="62">
        <v>9445686</v>
      </c>
      <c r="J36" s="62">
        <v>8268291.5</v>
      </c>
      <c r="K36" s="62">
        <v>11406278</v>
      </c>
      <c r="L36" s="62">
        <v>8961304</v>
      </c>
      <c r="M36" s="62">
        <v>6951290.5</v>
      </c>
      <c r="N36" s="63">
        <v>9880746</v>
      </c>
      <c r="O36" s="162">
        <f t="shared" si="4"/>
        <v>101551066.5</v>
      </c>
      <c r="P36" s="3">
        <f>O36-'Base Forecast'!O36</f>
        <v>-62261.5</v>
      </c>
    </row>
    <row r="37" spans="1:16" ht="11.25">
      <c r="A37" s="3" t="s">
        <v>118</v>
      </c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162">
        <f t="shared" si="4"/>
        <v>0</v>
      </c>
      <c r="P37" s="85"/>
    </row>
    <row r="38" spans="1:16" ht="11.25">
      <c r="A38" s="2" t="s">
        <v>119</v>
      </c>
      <c r="B38" s="13"/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6">
        <v>0</v>
      </c>
      <c r="O38" s="163">
        <f t="shared" si="4"/>
        <v>0</v>
      </c>
      <c r="P38" s="85"/>
    </row>
    <row r="39" spans="1:15" ht="11.25">
      <c r="A39" s="3" t="s">
        <v>114</v>
      </c>
      <c r="C39" s="266">
        <f aca="true" t="shared" si="5" ref="C39:N39">SUM(C32:C38)</f>
        <v>22297293.5</v>
      </c>
      <c r="D39" s="193">
        <f t="shared" si="5"/>
        <v>29512003.9</v>
      </c>
      <c r="E39" s="193">
        <f t="shared" si="5"/>
        <v>29161418.5</v>
      </c>
      <c r="F39" s="193">
        <f t="shared" si="5"/>
        <v>30406768</v>
      </c>
      <c r="G39" s="193">
        <f t="shared" si="5"/>
        <v>30333131</v>
      </c>
      <c r="H39" s="193">
        <f t="shared" si="5"/>
        <v>37495691.9</v>
      </c>
      <c r="I39" s="193">
        <f t="shared" si="5"/>
        <v>27468482</v>
      </c>
      <c r="J39" s="193">
        <f t="shared" si="5"/>
        <v>23190078.1</v>
      </c>
      <c r="K39" s="193">
        <f t="shared" si="5"/>
        <v>24759792.7</v>
      </c>
      <c r="L39" s="193">
        <f t="shared" si="5"/>
        <v>18437900.695</v>
      </c>
      <c r="M39" s="193">
        <f t="shared" si="5"/>
        <v>12448841.899999999</v>
      </c>
      <c r="N39" s="267">
        <f t="shared" si="5"/>
        <v>17158905.086</v>
      </c>
      <c r="O39" s="80">
        <f>SUM(O32:O38)</f>
        <v>302670307.281</v>
      </c>
    </row>
    <row r="40" spans="3:15" ht="11.25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0"/>
    </row>
    <row r="41" spans="1:15" ht="11.25">
      <c r="A41" s="6" t="s">
        <v>115</v>
      </c>
      <c r="B41" s="34"/>
      <c r="C41" s="67">
        <f aca="true" t="shared" si="6" ref="C41:N41">C19+C29+C39</f>
        <v>33795921.0432</v>
      </c>
      <c r="D41" s="68">
        <f t="shared" si="6"/>
        <v>39771453.599199995</v>
      </c>
      <c r="E41" s="68">
        <f t="shared" si="6"/>
        <v>40307187.0475</v>
      </c>
      <c r="F41" s="68">
        <f t="shared" si="6"/>
        <v>47946537.996199995</v>
      </c>
      <c r="G41" s="68">
        <f t="shared" si="6"/>
        <v>47557792.7275</v>
      </c>
      <c r="H41" s="68">
        <f t="shared" si="6"/>
        <v>56020280.1162</v>
      </c>
      <c r="I41" s="68">
        <f t="shared" si="6"/>
        <v>46409939.2562</v>
      </c>
      <c r="J41" s="68">
        <f t="shared" si="6"/>
        <v>41345819.3812</v>
      </c>
      <c r="K41" s="68">
        <f t="shared" si="6"/>
        <v>42598401.089200005</v>
      </c>
      <c r="L41" s="68">
        <f t="shared" si="6"/>
        <v>33715587.7825</v>
      </c>
      <c r="M41" s="68">
        <f t="shared" si="6"/>
        <v>27706027.1122</v>
      </c>
      <c r="N41" s="69">
        <f t="shared" si="6"/>
        <v>31447905.3305</v>
      </c>
      <c r="O41" s="81">
        <f>O19+O29+O39</f>
        <v>488622852.48160005</v>
      </c>
    </row>
    <row r="42" spans="3:15" ht="11.2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80"/>
    </row>
    <row r="43" spans="3:15" ht="11.2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80"/>
    </row>
    <row r="44" spans="1:15" ht="11.25">
      <c r="A44" s="3" t="s">
        <v>134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80"/>
    </row>
    <row r="45" spans="1:15" ht="11.25">
      <c r="A45" s="3" t="s">
        <v>135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80"/>
    </row>
    <row r="46" spans="1:16" ht="11.25">
      <c r="A46" s="3" t="s">
        <v>136</v>
      </c>
      <c r="C46" s="61">
        <v>265067.97</v>
      </c>
      <c r="D46" s="62">
        <v>0</v>
      </c>
      <c r="E46" s="62">
        <v>0</v>
      </c>
      <c r="F46" s="62">
        <v>0</v>
      </c>
      <c r="G46" s="62">
        <v>187761.56</v>
      </c>
      <c r="H46" s="62">
        <v>0</v>
      </c>
      <c r="I46" s="62">
        <v>571973.75</v>
      </c>
      <c r="J46" s="62">
        <v>405565.16</v>
      </c>
      <c r="K46" s="62">
        <v>266136</v>
      </c>
      <c r="L46" s="62">
        <v>0</v>
      </c>
      <c r="M46" s="62">
        <v>0</v>
      </c>
      <c r="N46" s="63">
        <v>0</v>
      </c>
      <c r="O46" s="162">
        <f aca="true" t="shared" si="7" ref="O46:O74">SUM(C46:N46)</f>
        <v>1696504.44</v>
      </c>
      <c r="P46" s="85"/>
    </row>
    <row r="47" spans="1:16" ht="11.25">
      <c r="A47" s="3" t="s">
        <v>137</v>
      </c>
      <c r="C47" s="61">
        <v>2516.5752</v>
      </c>
      <c r="D47" s="62">
        <v>2516.5752</v>
      </c>
      <c r="E47" s="62">
        <v>2435.3936</v>
      </c>
      <c r="F47" s="62">
        <v>2516.5752</v>
      </c>
      <c r="G47" s="62">
        <v>2435.3936</v>
      </c>
      <c r="H47" s="62">
        <v>2516.5752</v>
      </c>
      <c r="I47" s="62">
        <v>2516.5752</v>
      </c>
      <c r="J47" s="62">
        <v>2354.212</v>
      </c>
      <c r="K47" s="62">
        <v>2516.5752</v>
      </c>
      <c r="L47" s="62">
        <v>0</v>
      </c>
      <c r="M47" s="62">
        <v>0</v>
      </c>
      <c r="N47" s="63">
        <v>0</v>
      </c>
      <c r="O47" s="162">
        <f t="shared" si="7"/>
        <v>22324.450399999998</v>
      </c>
      <c r="P47" s="85"/>
    </row>
    <row r="48" spans="1:16" ht="11.25">
      <c r="A48" s="3" t="s">
        <v>138</v>
      </c>
      <c r="C48" s="61">
        <v>26630.531000000003</v>
      </c>
      <c r="D48" s="62">
        <v>22844.341</v>
      </c>
      <c r="E48" s="62">
        <v>18464.8973</v>
      </c>
      <c r="F48" s="62">
        <v>23752.764</v>
      </c>
      <c r="G48" s="62">
        <v>19345.492</v>
      </c>
      <c r="H48" s="62">
        <v>15997.566600000002</v>
      </c>
      <c r="I48" s="62">
        <v>14936.677</v>
      </c>
      <c r="J48" s="62">
        <v>18305.996</v>
      </c>
      <c r="K48" s="62">
        <v>30081.879999999997</v>
      </c>
      <c r="L48" s="62">
        <v>22944.896999999997</v>
      </c>
      <c r="M48" s="62">
        <v>27885.314</v>
      </c>
      <c r="N48" s="63">
        <v>30792.263</v>
      </c>
      <c r="O48" s="162">
        <f t="shared" si="7"/>
        <v>271982.6189</v>
      </c>
      <c r="P48" s="85"/>
    </row>
    <row r="49" spans="1:16" ht="11.25">
      <c r="A49" s="3" t="s">
        <v>139</v>
      </c>
      <c r="C49" s="61">
        <v>378077.34</v>
      </c>
      <c r="D49" s="62">
        <v>375077.9</v>
      </c>
      <c r="E49" s="62">
        <v>357443.03</v>
      </c>
      <c r="F49" s="62">
        <v>383749.28</v>
      </c>
      <c r="G49" s="62">
        <v>427965.56</v>
      </c>
      <c r="H49" s="62">
        <v>312325.6</v>
      </c>
      <c r="I49" s="62">
        <v>483363.97</v>
      </c>
      <c r="J49" s="62">
        <v>326313.44</v>
      </c>
      <c r="K49" s="62">
        <v>558697.6</v>
      </c>
      <c r="L49" s="62">
        <v>393252.3</v>
      </c>
      <c r="M49" s="62">
        <v>365263.88</v>
      </c>
      <c r="N49" s="63">
        <v>439731.53</v>
      </c>
      <c r="O49" s="162">
        <f t="shared" si="7"/>
        <v>4801261.43</v>
      </c>
      <c r="P49" s="85"/>
    </row>
    <row r="50" spans="1:16" ht="11.25">
      <c r="A50" s="3" t="s">
        <v>140</v>
      </c>
      <c r="C50" s="61">
        <v>2703456</v>
      </c>
      <c r="D50" s="62">
        <v>2730226</v>
      </c>
      <c r="E50" s="62">
        <v>2676686</v>
      </c>
      <c r="F50" s="62">
        <v>2716841</v>
      </c>
      <c r="G50" s="62">
        <v>2743611</v>
      </c>
      <c r="H50" s="62">
        <v>2783766</v>
      </c>
      <c r="I50" s="62">
        <v>2859993</v>
      </c>
      <c r="J50" s="62">
        <v>2777475</v>
      </c>
      <c r="K50" s="62">
        <v>2859993</v>
      </c>
      <c r="L50" s="62">
        <v>2528205.5</v>
      </c>
      <c r="M50" s="62">
        <v>2545396</v>
      </c>
      <c r="N50" s="63">
        <v>2495543.2</v>
      </c>
      <c r="O50" s="162">
        <f t="shared" si="7"/>
        <v>32421191.7</v>
      </c>
      <c r="P50" s="85"/>
    </row>
    <row r="51" spans="1:16" ht="11.25">
      <c r="A51" s="3" t="s">
        <v>141</v>
      </c>
      <c r="B51" s="12" t="s">
        <v>28</v>
      </c>
      <c r="C51" s="61">
        <v>210044.27</v>
      </c>
      <c r="D51" s="62">
        <v>129585.94</v>
      </c>
      <c r="E51" s="62">
        <v>60015.336</v>
      </c>
      <c r="F51" s="62">
        <v>53515.676</v>
      </c>
      <c r="G51" s="62">
        <v>50762.215</v>
      </c>
      <c r="H51" s="62">
        <v>42355.383</v>
      </c>
      <c r="I51" s="62">
        <v>60582.402</v>
      </c>
      <c r="J51" s="62">
        <v>43574.12</v>
      </c>
      <c r="K51" s="62">
        <v>100467.46</v>
      </c>
      <c r="L51" s="62">
        <v>164531.7</v>
      </c>
      <c r="M51" s="62">
        <v>268204.66</v>
      </c>
      <c r="N51" s="63">
        <v>300840.12</v>
      </c>
      <c r="O51" s="162">
        <f t="shared" si="7"/>
        <v>1484479.2819999997</v>
      </c>
      <c r="P51" s="85"/>
    </row>
    <row r="52" spans="1:16" ht="11.25">
      <c r="A52" s="3" t="s">
        <v>142</v>
      </c>
      <c r="B52" s="12" t="s">
        <v>33</v>
      </c>
      <c r="C52" s="61">
        <v>228100</v>
      </c>
      <c r="D52" s="62">
        <v>238400</v>
      </c>
      <c r="E52" s="62">
        <v>228100</v>
      </c>
      <c r="F52" s="62">
        <v>250400</v>
      </c>
      <c r="G52" s="62">
        <v>283600</v>
      </c>
      <c r="H52" s="62">
        <v>231100</v>
      </c>
      <c r="I52" s="62">
        <v>231100</v>
      </c>
      <c r="J52" s="62">
        <v>228100</v>
      </c>
      <c r="K52" s="62">
        <v>237100</v>
      </c>
      <c r="L52" s="62">
        <v>228100</v>
      </c>
      <c r="M52" s="62">
        <v>228100</v>
      </c>
      <c r="N52" s="63">
        <v>228100</v>
      </c>
      <c r="O52" s="162">
        <f t="shared" si="7"/>
        <v>2840300</v>
      </c>
      <c r="P52" s="85"/>
    </row>
    <row r="53" spans="1:16" ht="11.25">
      <c r="A53" s="3" t="s">
        <v>38</v>
      </c>
      <c r="C53" s="61">
        <v>570665</v>
      </c>
      <c r="D53" s="62">
        <v>570665</v>
      </c>
      <c r="E53" s="62">
        <v>552257</v>
      </c>
      <c r="F53" s="62">
        <v>570665</v>
      </c>
      <c r="G53" s="62">
        <v>552257</v>
      </c>
      <c r="H53" s="62">
        <v>570665</v>
      </c>
      <c r="I53" s="62">
        <v>599644.9</v>
      </c>
      <c r="J53" s="62">
        <v>560956.9</v>
      </c>
      <c r="K53" s="62">
        <v>599644.9</v>
      </c>
      <c r="L53" s="62">
        <v>580300.9</v>
      </c>
      <c r="M53" s="62">
        <v>599644.9</v>
      </c>
      <c r="N53" s="63">
        <v>580300.9</v>
      </c>
      <c r="O53" s="162">
        <f t="shared" si="7"/>
        <v>6907667.400000001</v>
      </c>
      <c r="P53" s="85"/>
    </row>
    <row r="54" spans="1:16" ht="11.25">
      <c r="A54" s="3" t="s">
        <v>143</v>
      </c>
      <c r="B54" s="12" t="s">
        <v>29</v>
      </c>
      <c r="C54" s="61">
        <v>697495.9</v>
      </c>
      <c r="D54" s="62">
        <v>726745.56</v>
      </c>
      <c r="E54" s="62">
        <v>545909.9</v>
      </c>
      <c r="F54" s="62">
        <v>470664.88</v>
      </c>
      <c r="G54" s="62">
        <v>404520.66</v>
      </c>
      <c r="H54" s="62">
        <v>506873</v>
      </c>
      <c r="I54" s="62">
        <v>507263.28</v>
      </c>
      <c r="J54" s="62">
        <v>425221.5</v>
      </c>
      <c r="K54" s="62">
        <v>464582.5</v>
      </c>
      <c r="L54" s="62">
        <v>519071</v>
      </c>
      <c r="M54" s="62">
        <v>587022</v>
      </c>
      <c r="N54" s="63">
        <v>627744.4</v>
      </c>
      <c r="O54" s="162">
        <f t="shared" si="7"/>
        <v>6483114.58</v>
      </c>
      <c r="P54" s="85"/>
    </row>
    <row r="55" spans="1:16" ht="11.25">
      <c r="A55" s="3" t="s">
        <v>144</v>
      </c>
      <c r="C55" s="277">
        <v>5611032.258674788</v>
      </c>
      <c r="D55" s="264">
        <v>8492360.681353364</v>
      </c>
      <c r="E55" s="62">
        <v>7761126.7425917275</v>
      </c>
      <c r="F55" s="62">
        <v>8031649.195377415</v>
      </c>
      <c r="G55" s="62">
        <v>8021655.611035659</v>
      </c>
      <c r="H55" s="62">
        <v>8625342.884980356</v>
      </c>
      <c r="I55" s="62">
        <v>7667702.295882254</v>
      </c>
      <c r="J55" s="62">
        <v>6513766.878261903</v>
      </c>
      <c r="K55" s="62">
        <v>4514343.712728275</v>
      </c>
      <c r="L55" s="62">
        <v>4035659.744726209</v>
      </c>
      <c r="M55" s="62">
        <v>4035659.744726209</v>
      </c>
      <c r="N55" s="63">
        <v>4078041.2744608447</v>
      </c>
      <c r="O55" s="162">
        <f t="shared" si="7"/>
        <v>77388341.02479902</v>
      </c>
      <c r="P55" s="3">
        <f>O55-'Base Forecast'!O55</f>
        <v>2818.402250021696</v>
      </c>
    </row>
    <row r="56" spans="1:16" ht="11.25">
      <c r="A56" s="3" t="s">
        <v>145</v>
      </c>
      <c r="C56" s="61">
        <v>12093.632</v>
      </c>
      <c r="D56" s="62">
        <v>12093.632</v>
      </c>
      <c r="E56" s="62">
        <v>12093.694</v>
      </c>
      <c r="F56" s="62">
        <v>12093.632</v>
      </c>
      <c r="G56" s="62">
        <v>12093.694</v>
      </c>
      <c r="H56" s="62">
        <v>12093.632</v>
      </c>
      <c r="I56" s="62">
        <v>12093.632</v>
      </c>
      <c r="J56" s="62">
        <v>12093.668</v>
      </c>
      <c r="K56" s="62">
        <v>12093.632</v>
      </c>
      <c r="L56" s="62">
        <v>12093.694</v>
      </c>
      <c r="M56" s="62">
        <v>12093.632</v>
      </c>
      <c r="N56" s="63">
        <v>12093.694</v>
      </c>
      <c r="O56" s="162">
        <f t="shared" si="7"/>
        <v>145123.868</v>
      </c>
      <c r="P56" s="85"/>
    </row>
    <row r="57" spans="1:16" ht="11.25">
      <c r="A57" s="3" t="s">
        <v>146</v>
      </c>
      <c r="B57" s="12" t="s">
        <v>36</v>
      </c>
      <c r="C57" s="61">
        <v>2164955.2</v>
      </c>
      <c r="D57" s="62">
        <v>2164955.2</v>
      </c>
      <c r="E57" s="62">
        <v>2095115.4</v>
      </c>
      <c r="F57" s="62">
        <v>2164955.2</v>
      </c>
      <c r="G57" s="62">
        <v>2095115.4</v>
      </c>
      <c r="H57" s="62">
        <v>2164955.2</v>
      </c>
      <c r="I57" s="62">
        <v>2164955.2</v>
      </c>
      <c r="J57" s="62">
        <v>1955435.2</v>
      </c>
      <c r="K57" s="62">
        <v>2164955.2</v>
      </c>
      <c r="L57" s="62">
        <v>2095115.4</v>
      </c>
      <c r="M57" s="62">
        <v>2164955.2</v>
      </c>
      <c r="N57" s="63">
        <v>2095115.4</v>
      </c>
      <c r="O57" s="162">
        <f t="shared" si="7"/>
        <v>25490583.199999996</v>
      </c>
      <c r="P57" s="85"/>
    </row>
    <row r="58" spans="1:16" ht="11.25">
      <c r="A58" s="3" t="s">
        <v>39</v>
      </c>
      <c r="C58" s="61">
        <v>1376616.9</v>
      </c>
      <c r="D58" s="62">
        <v>1402849.1</v>
      </c>
      <c r="E58" s="62">
        <v>480346.78</v>
      </c>
      <c r="F58" s="62">
        <v>390254.66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  <c r="O58" s="162">
        <f t="shared" si="7"/>
        <v>3650067.4400000004</v>
      </c>
      <c r="P58" s="85"/>
    </row>
    <row r="59" spans="1:16" ht="11.25">
      <c r="A59" s="3" t="s">
        <v>147</v>
      </c>
      <c r="C59" s="61">
        <v>387190</v>
      </c>
      <c r="D59" s="62">
        <v>387190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  <c r="O59" s="162">
        <f t="shared" si="7"/>
        <v>774380</v>
      </c>
      <c r="P59" s="85"/>
    </row>
    <row r="60" spans="1:16" ht="11.25">
      <c r="A60" s="3" t="s">
        <v>148</v>
      </c>
      <c r="C60" s="61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  <c r="O60" s="164">
        <f t="shared" si="7"/>
        <v>0</v>
      </c>
      <c r="P60" s="85"/>
    </row>
    <row r="61" spans="1:16" ht="11.25">
      <c r="A61" s="3" t="s">
        <v>149</v>
      </c>
      <c r="C61" s="61">
        <v>409020.03</v>
      </c>
      <c r="D61" s="62">
        <v>409020.03</v>
      </c>
      <c r="E61" s="62">
        <v>409020.03</v>
      </c>
      <c r="F61" s="62">
        <v>409020.03</v>
      </c>
      <c r="G61" s="62">
        <v>409020.03</v>
      </c>
      <c r="H61" s="62">
        <v>409020.03</v>
      </c>
      <c r="I61" s="62">
        <v>445110.03</v>
      </c>
      <c r="J61" s="62">
        <v>445110.03</v>
      </c>
      <c r="K61" s="62">
        <v>445110.03</v>
      </c>
      <c r="L61" s="62">
        <v>445110.03</v>
      </c>
      <c r="M61" s="62">
        <v>445110.03</v>
      </c>
      <c r="N61" s="63">
        <v>445110.03</v>
      </c>
      <c r="O61" s="162">
        <f t="shared" si="7"/>
        <v>5124780.360000001</v>
      </c>
      <c r="P61" s="85"/>
    </row>
    <row r="62" spans="1:16" ht="11.25">
      <c r="A62" s="3" t="s">
        <v>40</v>
      </c>
      <c r="C62" s="61">
        <v>510000</v>
      </c>
      <c r="D62" s="62">
        <v>510000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  <c r="O62" s="162">
        <f t="shared" si="7"/>
        <v>1020000</v>
      </c>
      <c r="P62" s="85"/>
    </row>
    <row r="63" spans="1:16" ht="11.25">
      <c r="A63" s="3" t="s">
        <v>41</v>
      </c>
      <c r="C63" s="61">
        <v>540000</v>
      </c>
      <c r="D63" s="62">
        <v>540000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  <c r="O63" s="162">
        <f t="shared" si="7"/>
        <v>1080000</v>
      </c>
      <c r="P63" s="85"/>
    </row>
    <row r="64" spans="1:16" ht="11.25">
      <c r="A64" s="3" t="s">
        <v>150</v>
      </c>
      <c r="C64" s="61">
        <v>416500</v>
      </c>
      <c r="D64" s="62">
        <v>416500</v>
      </c>
      <c r="E64" s="62">
        <v>416500</v>
      </c>
      <c r="F64" s="62">
        <v>416500</v>
      </c>
      <c r="G64" s="62">
        <v>416500</v>
      </c>
      <c r="H64" s="62">
        <v>416500</v>
      </c>
      <c r="I64" s="62">
        <v>455600</v>
      </c>
      <c r="J64" s="62">
        <v>455600</v>
      </c>
      <c r="K64" s="62">
        <v>455600</v>
      </c>
      <c r="L64" s="62">
        <v>455600</v>
      </c>
      <c r="M64" s="62">
        <v>455600</v>
      </c>
      <c r="N64" s="63">
        <v>455600</v>
      </c>
      <c r="O64" s="162">
        <f t="shared" si="7"/>
        <v>5232600</v>
      </c>
      <c r="P64" s="85"/>
    </row>
    <row r="65" spans="1:16" ht="11.25">
      <c r="A65" s="3" t="s">
        <v>151</v>
      </c>
      <c r="C65" s="61">
        <v>1415880</v>
      </c>
      <c r="D65" s="62">
        <v>1415880</v>
      </c>
      <c r="E65" s="62">
        <v>1415880</v>
      </c>
      <c r="F65" s="62">
        <v>1415880</v>
      </c>
      <c r="G65" s="62">
        <v>1415880</v>
      </c>
      <c r="H65" s="62">
        <v>1415880</v>
      </c>
      <c r="I65" s="62">
        <v>1415880</v>
      </c>
      <c r="J65" s="62">
        <v>1415880</v>
      </c>
      <c r="K65" s="62">
        <v>1415880</v>
      </c>
      <c r="L65" s="62">
        <v>1415880</v>
      </c>
      <c r="M65" s="62">
        <v>1415880</v>
      </c>
      <c r="N65" s="63">
        <v>1415880</v>
      </c>
      <c r="O65" s="162">
        <f t="shared" si="7"/>
        <v>16990560</v>
      </c>
      <c r="P65" s="85"/>
    </row>
    <row r="66" spans="1:16" ht="11.25">
      <c r="A66" s="3" t="s">
        <v>152</v>
      </c>
      <c r="B66" s="12" t="s">
        <v>29</v>
      </c>
      <c r="C66" s="61">
        <v>35000</v>
      </c>
      <c r="D66" s="62">
        <v>35000</v>
      </c>
      <c r="E66" s="62">
        <v>35000</v>
      </c>
      <c r="F66" s="62">
        <v>35000</v>
      </c>
      <c r="G66" s="62">
        <v>35000</v>
      </c>
      <c r="H66" s="62">
        <v>35000</v>
      </c>
      <c r="I66" s="62">
        <v>28750</v>
      </c>
      <c r="J66" s="62">
        <v>28750</v>
      </c>
      <c r="K66" s="62">
        <v>28750</v>
      </c>
      <c r="L66" s="62">
        <v>28750</v>
      </c>
      <c r="M66" s="62">
        <v>28750</v>
      </c>
      <c r="N66" s="63">
        <v>28750</v>
      </c>
      <c r="O66" s="162">
        <f t="shared" si="7"/>
        <v>382500</v>
      </c>
      <c r="P66" s="85"/>
    </row>
    <row r="67" spans="1:16" ht="11.25">
      <c r="A67" s="3" t="s">
        <v>153</v>
      </c>
      <c r="C67" s="61">
        <v>197811.84</v>
      </c>
      <c r="D67" s="62">
        <v>239057.56</v>
      </c>
      <c r="E67" s="62">
        <v>310515.1</v>
      </c>
      <c r="F67" s="62">
        <v>445041.1</v>
      </c>
      <c r="G67" s="62">
        <v>605478.4</v>
      </c>
      <c r="H67" s="62">
        <v>623408.3</v>
      </c>
      <c r="I67" s="62">
        <v>614814.2</v>
      </c>
      <c r="J67" s="62">
        <v>502776.9</v>
      </c>
      <c r="K67" s="62">
        <v>490686.94</v>
      </c>
      <c r="L67" s="62">
        <v>384294.84</v>
      </c>
      <c r="M67" s="62">
        <v>367660.44</v>
      </c>
      <c r="N67" s="63">
        <v>277469.62</v>
      </c>
      <c r="O67" s="162">
        <f t="shared" si="7"/>
        <v>5059015.24</v>
      </c>
      <c r="P67" s="85"/>
    </row>
    <row r="68" spans="1:16" ht="11.25">
      <c r="A68" s="3" t="s">
        <v>154</v>
      </c>
      <c r="C68" s="61">
        <v>740872.75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  <c r="O68" s="162">
        <f t="shared" si="7"/>
        <v>740872.75</v>
      </c>
      <c r="P68" s="85"/>
    </row>
    <row r="69" spans="1:16" ht="11.25">
      <c r="A69" s="3" t="s">
        <v>66</v>
      </c>
      <c r="B69" s="210" t="s">
        <v>311</v>
      </c>
      <c r="C69" s="61">
        <v>50981.656</v>
      </c>
      <c r="D69" s="62">
        <v>51588.14</v>
      </c>
      <c r="E69" s="62">
        <v>50565.21</v>
      </c>
      <c r="F69" s="62">
        <v>62007.79</v>
      </c>
      <c r="G69" s="62">
        <v>67171.01</v>
      </c>
      <c r="H69" s="62">
        <v>90309.31</v>
      </c>
      <c r="I69" s="62">
        <v>84944.41</v>
      </c>
      <c r="J69" s="62">
        <v>69271.695</v>
      </c>
      <c r="K69" s="62">
        <v>63446.297</v>
      </c>
      <c r="L69" s="62">
        <v>57715.26</v>
      </c>
      <c r="M69" s="62">
        <v>50603.402</v>
      </c>
      <c r="N69" s="63">
        <v>46102.297</v>
      </c>
      <c r="O69" s="162">
        <f t="shared" si="7"/>
        <v>744706.477</v>
      </c>
      <c r="P69" s="85"/>
    </row>
    <row r="70" spans="1:16" ht="11.25">
      <c r="A70" s="3" t="s">
        <v>155</v>
      </c>
      <c r="B70" s="210" t="s">
        <v>312</v>
      </c>
      <c r="C70" s="61">
        <v>2075.9885</v>
      </c>
      <c r="D70" s="62">
        <v>1616.9918</v>
      </c>
      <c r="E70" s="62">
        <v>9404.005</v>
      </c>
      <c r="F70" s="62">
        <v>1549.007</v>
      </c>
      <c r="G70" s="62">
        <v>1969.9861</v>
      </c>
      <c r="H70" s="62">
        <v>1068.9985</v>
      </c>
      <c r="I70" s="62">
        <v>623.99866</v>
      </c>
      <c r="J70" s="62">
        <v>810.0048</v>
      </c>
      <c r="K70" s="62">
        <v>346.00217</v>
      </c>
      <c r="L70" s="62">
        <v>1895.0083</v>
      </c>
      <c r="M70" s="62">
        <v>6389.0215</v>
      </c>
      <c r="N70" s="63">
        <v>1337.9922</v>
      </c>
      <c r="O70" s="162">
        <f t="shared" si="7"/>
        <v>29087.004530000002</v>
      </c>
      <c r="P70" s="85"/>
    </row>
    <row r="71" spans="1:16" ht="11.25">
      <c r="A71" s="3" t="s">
        <v>156</v>
      </c>
      <c r="C71" s="61">
        <v>1054440</v>
      </c>
      <c r="D71" s="62">
        <v>1080204</v>
      </c>
      <c r="E71" s="62">
        <v>1422073.1</v>
      </c>
      <c r="F71" s="62">
        <v>1786072.4</v>
      </c>
      <c r="G71" s="62">
        <v>2006038.8</v>
      </c>
      <c r="H71" s="62">
        <v>2405043.2</v>
      </c>
      <c r="I71" s="62">
        <v>2306649.5</v>
      </c>
      <c r="J71" s="62">
        <v>1654906.6</v>
      </c>
      <c r="K71" s="62">
        <v>2349690.8</v>
      </c>
      <c r="L71" s="62">
        <v>1692947.4</v>
      </c>
      <c r="M71" s="62">
        <v>1714438.2</v>
      </c>
      <c r="N71" s="63">
        <v>1182987</v>
      </c>
      <c r="O71" s="162">
        <f t="shared" si="7"/>
        <v>20655490.999999996</v>
      </c>
      <c r="P71" s="85"/>
    </row>
    <row r="72" spans="1:16" ht="11.25">
      <c r="A72" s="3" t="s">
        <v>157</v>
      </c>
      <c r="C72" s="61">
        <v>1930628.6</v>
      </c>
      <c r="D72" s="62">
        <v>2085897</v>
      </c>
      <c r="E72" s="62">
        <v>2260700.5</v>
      </c>
      <c r="F72" s="62">
        <v>2894540.2</v>
      </c>
      <c r="G72" s="62">
        <v>4235119.5</v>
      </c>
      <c r="H72" s="62">
        <v>5561978.5</v>
      </c>
      <c r="I72" s="62">
        <v>5294292</v>
      </c>
      <c r="J72" s="62">
        <v>4136215.5</v>
      </c>
      <c r="K72" s="62">
        <v>3807444.5</v>
      </c>
      <c r="L72" s="62">
        <v>3097120.5</v>
      </c>
      <c r="M72" s="62">
        <v>2664390.2</v>
      </c>
      <c r="N72" s="63">
        <v>2419137.8</v>
      </c>
      <c r="O72" s="162">
        <f t="shared" si="7"/>
        <v>40387464.8</v>
      </c>
      <c r="P72" s="85"/>
    </row>
    <row r="73" spans="1:16" ht="11.25">
      <c r="A73" s="3" t="s">
        <v>158</v>
      </c>
      <c r="C73" s="61">
        <v>825263.1</v>
      </c>
      <c r="D73" s="62">
        <v>828031.8</v>
      </c>
      <c r="E73" s="62">
        <v>765173.6</v>
      </c>
      <c r="F73" s="62">
        <v>780568.6</v>
      </c>
      <c r="G73" s="62">
        <v>769919.9</v>
      </c>
      <c r="H73" s="62">
        <v>833173.7</v>
      </c>
      <c r="I73" s="62">
        <v>826449.7</v>
      </c>
      <c r="J73" s="62">
        <v>813854</v>
      </c>
      <c r="K73" s="62">
        <v>836337.94</v>
      </c>
      <c r="L73" s="62">
        <v>702285.5</v>
      </c>
      <c r="M73" s="62">
        <v>751299.75</v>
      </c>
      <c r="N73" s="63">
        <v>803539.7</v>
      </c>
      <c r="O73" s="162">
        <f t="shared" si="7"/>
        <v>9535897.29</v>
      </c>
      <c r="P73" s="85"/>
    </row>
    <row r="74" spans="1:16" ht="11.25">
      <c r="A74" s="2" t="s">
        <v>159</v>
      </c>
      <c r="B74" s="13"/>
      <c r="C74" s="64">
        <v>818630.44</v>
      </c>
      <c r="D74" s="65">
        <v>768185.7</v>
      </c>
      <c r="E74" s="65">
        <v>714643</v>
      </c>
      <c r="F74" s="65">
        <v>618531.1</v>
      </c>
      <c r="G74" s="65">
        <v>809100.94</v>
      </c>
      <c r="H74" s="65">
        <v>644587.2</v>
      </c>
      <c r="I74" s="65">
        <v>737074.1</v>
      </c>
      <c r="J74" s="65">
        <v>601978.94</v>
      </c>
      <c r="K74" s="65">
        <v>1158511.6</v>
      </c>
      <c r="L74" s="65">
        <v>1114796.8</v>
      </c>
      <c r="M74" s="65">
        <v>1086388</v>
      </c>
      <c r="N74" s="66">
        <v>846625.75</v>
      </c>
      <c r="O74" s="163">
        <f t="shared" si="7"/>
        <v>9919053.57</v>
      </c>
      <c r="P74" s="85"/>
    </row>
    <row r="75" spans="1:15" ht="11.25">
      <c r="A75" s="3" t="s">
        <v>160</v>
      </c>
      <c r="C75" s="58">
        <f aca="true" t="shared" si="8" ref="C75:N75">SUM(C46:C74)</f>
        <v>23581045.98137479</v>
      </c>
      <c r="D75" s="59">
        <f t="shared" si="8"/>
        <v>25636491.151353363</v>
      </c>
      <c r="E75" s="59">
        <f t="shared" si="8"/>
        <v>22599468.71849173</v>
      </c>
      <c r="F75" s="59">
        <f t="shared" si="8"/>
        <v>23935768.089577418</v>
      </c>
      <c r="G75" s="59">
        <f t="shared" si="8"/>
        <v>25572322.151735656</v>
      </c>
      <c r="H75" s="59">
        <f t="shared" si="8"/>
        <v>27703960.080280356</v>
      </c>
      <c r="I75" s="59">
        <f t="shared" si="8"/>
        <v>27386313.62074225</v>
      </c>
      <c r="J75" s="59">
        <f t="shared" si="8"/>
        <v>23394315.744061902</v>
      </c>
      <c r="K75" s="59">
        <f t="shared" si="8"/>
        <v>22862416.569098275</v>
      </c>
      <c r="L75" s="59">
        <f t="shared" si="8"/>
        <v>19975670.47402621</v>
      </c>
      <c r="M75" s="59">
        <f t="shared" si="8"/>
        <v>19820734.37422621</v>
      </c>
      <c r="N75" s="60">
        <f t="shared" si="8"/>
        <v>18810842.970660843</v>
      </c>
      <c r="O75" s="80">
        <f>SUM(O46:O74)</f>
        <v>281279349.925629</v>
      </c>
    </row>
    <row r="76" spans="3:15" ht="11.25"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80"/>
    </row>
    <row r="77" spans="1:16" ht="11.25">
      <c r="A77" s="2" t="s">
        <v>84</v>
      </c>
      <c r="B77" s="13"/>
      <c r="C77" s="7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2">
        <v>0</v>
      </c>
      <c r="O77" s="79">
        <v>0</v>
      </c>
      <c r="P77" s="85"/>
    </row>
    <row r="78" spans="1:15" ht="11.25">
      <c r="A78" s="3" t="s">
        <v>189</v>
      </c>
      <c r="C78" s="58">
        <f aca="true" t="shared" si="9" ref="C78:N78">SUM(C77)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60">
        <f t="shared" si="9"/>
        <v>0</v>
      </c>
      <c r="O78" s="80">
        <f>SUM(O77)</f>
        <v>0</v>
      </c>
    </row>
    <row r="79" spans="3:15" ht="11.25"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80"/>
    </row>
    <row r="80" spans="3:15" ht="11.25"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80"/>
    </row>
    <row r="81" spans="1:15" ht="11.25">
      <c r="A81" s="3" t="s">
        <v>161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80"/>
    </row>
    <row r="82" spans="1:16" ht="11.25">
      <c r="A82" s="3" t="s">
        <v>67</v>
      </c>
      <c r="B82" s="14" t="s">
        <v>30</v>
      </c>
      <c r="C82" s="61">
        <v>153203.87</v>
      </c>
      <c r="D82" s="62">
        <v>74823.18000000001</v>
      </c>
      <c r="E82" s="62">
        <v>62844.06</v>
      </c>
      <c r="F82" s="62">
        <v>59468.060000000005</v>
      </c>
      <c r="G82" s="62">
        <v>89545.78</v>
      </c>
      <c r="H82" s="62">
        <v>201063.24000000002</v>
      </c>
      <c r="I82" s="62">
        <v>409409.79</v>
      </c>
      <c r="J82" s="62">
        <v>508143.72</v>
      </c>
      <c r="K82" s="62">
        <v>643901.75</v>
      </c>
      <c r="L82" s="62">
        <v>739422.92</v>
      </c>
      <c r="M82" s="62">
        <v>742921.19</v>
      </c>
      <c r="N82" s="63">
        <v>544079.81</v>
      </c>
      <c r="O82" s="162">
        <f aca="true" t="shared" si="10" ref="O82:O106">SUM(C82:N82)</f>
        <v>4228827.37</v>
      </c>
      <c r="P82" s="85"/>
    </row>
    <row r="83" spans="1:16" ht="11.25">
      <c r="A83" s="3" t="s">
        <v>68</v>
      </c>
      <c r="B83" s="14" t="s">
        <v>34</v>
      </c>
      <c r="C83" s="61">
        <v>539283.09</v>
      </c>
      <c r="D83" s="62">
        <v>441400.79</v>
      </c>
      <c r="E83" s="62">
        <v>396295.29000000004</v>
      </c>
      <c r="F83" s="62">
        <v>424142.37</v>
      </c>
      <c r="G83" s="62">
        <v>411036.17000000004</v>
      </c>
      <c r="H83" s="62">
        <v>401998.68</v>
      </c>
      <c r="I83" s="62">
        <v>371638.81</v>
      </c>
      <c r="J83" s="62">
        <v>359221.62</v>
      </c>
      <c r="K83" s="62">
        <v>412146.17</v>
      </c>
      <c r="L83" s="62">
        <v>449577.11</v>
      </c>
      <c r="M83" s="62">
        <v>539075.77</v>
      </c>
      <c r="N83" s="63">
        <v>584948.0900000001</v>
      </c>
      <c r="O83" s="162">
        <f t="shared" si="10"/>
        <v>5330763.960000001</v>
      </c>
      <c r="P83" s="85"/>
    </row>
    <row r="84" spans="1:16" ht="11.25">
      <c r="A84" s="3" t="s">
        <v>69</v>
      </c>
      <c r="B84" s="14" t="s">
        <v>30</v>
      </c>
      <c r="C84" s="61">
        <v>1449257.5</v>
      </c>
      <c r="D84" s="62">
        <v>1352691.95</v>
      </c>
      <c r="E84" s="62">
        <v>1358241.1</v>
      </c>
      <c r="F84" s="62">
        <v>1246598.72</v>
      </c>
      <c r="G84" s="62">
        <v>1277930.84</v>
      </c>
      <c r="H84" s="62">
        <v>1549099.65</v>
      </c>
      <c r="I84" s="62">
        <v>1771090.2799999998</v>
      </c>
      <c r="J84" s="62">
        <v>1729012.34</v>
      </c>
      <c r="K84" s="62">
        <v>1886588.82</v>
      </c>
      <c r="L84" s="62">
        <v>2036349.1</v>
      </c>
      <c r="M84" s="62">
        <v>2049339.5</v>
      </c>
      <c r="N84" s="63">
        <v>1807396.24</v>
      </c>
      <c r="O84" s="162">
        <f t="shared" si="10"/>
        <v>19513596.039999995</v>
      </c>
      <c r="P84" s="85"/>
    </row>
    <row r="85" spans="1:16" ht="11.25">
      <c r="A85" s="3" t="s">
        <v>70</v>
      </c>
      <c r="B85" s="14" t="s">
        <v>34</v>
      </c>
      <c r="C85" s="61">
        <v>104946.19</v>
      </c>
      <c r="D85" s="62">
        <v>99225.41</v>
      </c>
      <c r="E85" s="62">
        <v>100344.32</v>
      </c>
      <c r="F85" s="62">
        <v>106909.34</v>
      </c>
      <c r="G85" s="62">
        <v>106146.44</v>
      </c>
      <c r="H85" s="62">
        <v>97638.66</v>
      </c>
      <c r="I85" s="62">
        <v>79527.71</v>
      </c>
      <c r="J85" s="62">
        <v>80848.29999999999</v>
      </c>
      <c r="K85" s="62">
        <v>83796.9</v>
      </c>
      <c r="L85" s="62">
        <v>87446.99</v>
      </c>
      <c r="M85" s="62">
        <v>88460.18</v>
      </c>
      <c r="N85" s="63">
        <v>85374.33</v>
      </c>
      <c r="O85" s="162">
        <f t="shared" si="10"/>
        <v>1120664.77</v>
      </c>
      <c r="P85" s="85"/>
    </row>
    <row r="86" spans="1:16" ht="11.25">
      <c r="A86" s="3" t="s">
        <v>71</v>
      </c>
      <c r="B86" s="14" t="s">
        <v>30</v>
      </c>
      <c r="C86" s="61">
        <v>329791.12</v>
      </c>
      <c r="D86" s="62">
        <v>317880.5</v>
      </c>
      <c r="E86" s="62">
        <v>297854.33999999997</v>
      </c>
      <c r="F86" s="62">
        <v>242524.32</v>
      </c>
      <c r="G86" s="62">
        <v>207854.9</v>
      </c>
      <c r="H86" s="62">
        <v>201352.01</v>
      </c>
      <c r="I86" s="62">
        <v>220539.35</v>
      </c>
      <c r="J86" s="62">
        <v>209660.06</v>
      </c>
      <c r="K86" s="62">
        <v>214573.9</v>
      </c>
      <c r="L86" s="62">
        <v>220368.64</v>
      </c>
      <c r="M86" s="62">
        <v>246571.01</v>
      </c>
      <c r="N86" s="63">
        <v>232366.36</v>
      </c>
      <c r="O86" s="162">
        <f t="shared" si="10"/>
        <v>2941336.5100000002</v>
      </c>
      <c r="P86" s="85"/>
    </row>
    <row r="87" spans="1:16" ht="11.25">
      <c r="A87" s="3" t="s">
        <v>72</v>
      </c>
      <c r="B87" s="14" t="s">
        <v>34</v>
      </c>
      <c r="C87" s="61">
        <v>123635.92</v>
      </c>
      <c r="D87" s="62">
        <v>123410.78</v>
      </c>
      <c r="E87" s="62">
        <v>110494.58</v>
      </c>
      <c r="F87" s="62">
        <v>49773.81</v>
      </c>
      <c r="G87" s="62">
        <v>15990.99</v>
      </c>
      <c r="H87" s="62">
        <v>15355.15</v>
      </c>
      <c r="I87" s="62">
        <v>17098.2</v>
      </c>
      <c r="J87" s="62">
        <v>16569.9</v>
      </c>
      <c r="K87" s="62">
        <v>15560.37</v>
      </c>
      <c r="L87" s="62">
        <v>41297.93</v>
      </c>
      <c r="M87" s="62">
        <v>117263.53</v>
      </c>
      <c r="N87" s="63">
        <v>119572.75</v>
      </c>
      <c r="O87" s="162">
        <f t="shared" si="10"/>
        <v>766023.9100000001</v>
      </c>
      <c r="P87" s="85"/>
    </row>
    <row r="88" spans="1:16" ht="11.25">
      <c r="A88" s="3" t="s">
        <v>163</v>
      </c>
      <c r="B88" s="14" t="s">
        <v>31</v>
      </c>
      <c r="C88" s="61">
        <v>2011112.9</v>
      </c>
      <c r="D88" s="62">
        <v>2256662</v>
      </c>
      <c r="E88" s="62">
        <v>2192468</v>
      </c>
      <c r="F88" s="62">
        <v>2256662</v>
      </c>
      <c r="G88" s="62">
        <v>2192468</v>
      </c>
      <c r="H88" s="62">
        <v>2256662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162">
        <f t="shared" si="10"/>
        <v>13166034.9</v>
      </c>
      <c r="P88" s="85"/>
    </row>
    <row r="89" spans="1:16" ht="11.25">
      <c r="A89" s="3" t="s">
        <v>164</v>
      </c>
      <c r="B89" s="89" t="s">
        <v>32</v>
      </c>
      <c r="C89" s="61">
        <v>119150.1</v>
      </c>
      <c r="D89" s="62">
        <v>207843.03</v>
      </c>
      <c r="E89" s="62">
        <v>174617.95</v>
      </c>
      <c r="F89" s="62">
        <v>275533.38</v>
      </c>
      <c r="G89" s="62">
        <v>276190.88</v>
      </c>
      <c r="H89" s="62">
        <v>306590.9</v>
      </c>
      <c r="I89" s="62">
        <v>314433.03</v>
      </c>
      <c r="J89" s="62">
        <v>318117.06</v>
      </c>
      <c r="K89" s="62">
        <v>314579.2</v>
      </c>
      <c r="L89" s="62">
        <v>127371.28</v>
      </c>
      <c r="M89" s="62">
        <v>146115.6</v>
      </c>
      <c r="N89" s="63">
        <v>156038.36</v>
      </c>
      <c r="O89" s="162">
        <f t="shared" si="10"/>
        <v>2736580.7699999996</v>
      </c>
      <c r="P89" s="85"/>
    </row>
    <row r="90" spans="1:16" ht="11.25">
      <c r="A90" s="3" t="s">
        <v>222</v>
      </c>
      <c r="B90" s="14" t="s">
        <v>32</v>
      </c>
      <c r="C90" s="61">
        <v>877.61145</v>
      </c>
      <c r="D90" s="62">
        <v>1658.8992</v>
      </c>
      <c r="E90" s="62">
        <v>2443.94</v>
      </c>
      <c r="F90" s="62">
        <v>9981.918</v>
      </c>
      <c r="G90" s="62">
        <v>6547.828</v>
      </c>
      <c r="H90" s="62">
        <v>4020.8926</v>
      </c>
      <c r="I90" s="62">
        <v>1992.0431</v>
      </c>
      <c r="J90" s="62">
        <v>1605.6469</v>
      </c>
      <c r="K90" s="62">
        <v>2829.4019</v>
      </c>
      <c r="L90" s="62">
        <v>2059.4827</v>
      </c>
      <c r="M90" s="62">
        <v>2784.3418</v>
      </c>
      <c r="N90" s="63">
        <v>1206.3196</v>
      </c>
      <c r="O90" s="162">
        <f t="shared" si="10"/>
        <v>38008.32525</v>
      </c>
      <c r="P90" s="85"/>
    </row>
    <row r="91" spans="1:16" ht="11.25">
      <c r="A91" s="3" t="s">
        <v>165</v>
      </c>
      <c r="B91" s="14" t="s">
        <v>32</v>
      </c>
      <c r="C91" s="61">
        <v>223576.73</v>
      </c>
      <c r="D91" s="62">
        <v>279247.3</v>
      </c>
      <c r="E91" s="62">
        <v>276369.44</v>
      </c>
      <c r="F91" s="62">
        <v>305360.34</v>
      </c>
      <c r="G91" s="62">
        <v>222863.12</v>
      </c>
      <c r="H91" s="62">
        <v>150390.4</v>
      </c>
      <c r="I91" s="62">
        <v>247372</v>
      </c>
      <c r="J91" s="62">
        <v>209699.31</v>
      </c>
      <c r="K91" s="62">
        <v>229912.14</v>
      </c>
      <c r="L91" s="62">
        <v>232346.67</v>
      </c>
      <c r="M91" s="62">
        <v>239940.97</v>
      </c>
      <c r="N91" s="63">
        <v>214915.3</v>
      </c>
      <c r="O91" s="162">
        <f t="shared" si="10"/>
        <v>2831993.72</v>
      </c>
      <c r="P91" s="85"/>
    </row>
    <row r="92" spans="1:16" ht="11.25">
      <c r="A92" s="3" t="s">
        <v>166</v>
      </c>
      <c r="B92" s="14" t="s">
        <v>37</v>
      </c>
      <c r="C92" s="61">
        <v>2037071.9</v>
      </c>
      <c r="D92" s="62">
        <v>2648212.5</v>
      </c>
      <c r="E92" s="62">
        <v>1845559.2</v>
      </c>
      <c r="F92" s="62">
        <v>2311962.8</v>
      </c>
      <c r="G92" s="62">
        <v>2378095.5</v>
      </c>
      <c r="H92" s="62">
        <v>3739729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3">
        <v>0</v>
      </c>
      <c r="O92" s="162">
        <f t="shared" si="10"/>
        <v>14960630.9</v>
      </c>
      <c r="P92" s="85"/>
    </row>
    <row r="93" spans="1:16" ht="11.25">
      <c r="A93" s="3" t="s">
        <v>167</v>
      </c>
      <c r="B93" s="14" t="s">
        <v>37</v>
      </c>
      <c r="C93" s="61">
        <v>175701.08</v>
      </c>
      <c r="D93" s="62">
        <v>177118.28</v>
      </c>
      <c r="E93" s="62">
        <v>142474.2</v>
      </c>
      <c r="F93" s="62">
        <v>147556.14</v>
      </c>
      <c r="G93" s="62">
        <v>152869.55</v>
      </c>
      <c r="H93" s="62">
        <v>163253.39</v>
      </c>
      <c r="I93" s="62">
        <v>152469.45</v>
      </c>
      <c r="J93" s="62">
        <v>139048.72</v>
      </c>
      <c r="K93" s="62">
        <v>142975.95</v>
      </c>
      <c r="L93" s="62">
        <v>125229.3</v>
      </c>
      <c r="M93" s="62">
        <v>109960.445</v>
      </c>
      <c r="N93" s="63">
        <v>101576.62</v>
      </c>
      <c r="O93" s="162">
        <f t="shared" si="10"/>
        <v>1730233.125</v>
      </c>
      <c r="P93" s="85"/>
    </row>
    <row r="94" spans="1:16" ht="11.25">
      <c r="A94" s="3" t="s">
        <v>168</v>
      </c>
      <c r="B94" s="14" t="s">
        <v>37</v>
      </c>
      <c r="C94" s="61">
        <v>647341.75</v>
      </c>
      <c r="D94" s="62">
        <v>592730.56</v>
      </c>
      <c r="E94" s="62">
        <v>398525.56</v>
      </c>
      <c r="F94" s="62">
        <v>449073.34</v>
      </c>
      <c r="G94" s="62">
        <v>536665.8</v>
      </c>
      <c r="H94" s="62">
        <v>612665.3</v>
      </c>
      <c r="I94" s="62">
        <v>571463.7</v>
      </c>
      <c r="J94" s="62">
        <v>596099.6</v>
      </c>
      <c r="K94" s="62">
        <v>475991.25</v>
      </c>
      <c r="L94" s="62">
        <v>491158.22</v>
      </c>
      <c r="M94" s="62">
        <v>322894.22</v>
      </c>
      <c r="N94" s="63">
        <v>408999.16</v>
      </c>
      <c r="O94" s="162">
        <f t="shared" si="10"/>
        <v>6103608.46</v>
      </c>
      <c r="P94" s="85"/>
    </row>
    <row r="95" spans="1:16" ht="11.25">
      <c r="A95" s="3" t="s">
        <v>169</v>
      </c>
      <c r="B95" s="14" t="s">
        <v>37</v>
      </c>
      <c r="C95" s="61">
        <v>401438.47</v>
      </c>
      <c r="D95" s="62">
        <v>544170</v>
      </c>
      <c r="E95" s="62">
        <v>631396.2</v>
      </c>
      <c r="F95" s="62">
        <v>711474.7</v>
      </c>
      <c r="G95" s="62">
        <v>830351.44</v>
      </c>
      <c r="H95" s="62">
        <v>1112042.9</v>
      </c>
      <c r="I95" s="62">
        <v>1197304.2</v>
      </c>
      <c r="J95" s="62">
        <v>793910.56</v>
      </c>
      <c r="K95" s="62">
        <v>789572.25</v>
      </c>
      <c r="L95" s="62">
        <v>588917.5</v>
      </c>
      <c r="M95" s="62">
        <v>500215.12</v>
      </c>
      <c r="N95" s="63">
        <v>362581.5</v>
      </c>
      <c r="O95" s="162">
        <f t="shared" si="10"/>
        <v>8463374.84</v>
      </c>
      <c r="P95" s="85"/>
    </row>
    <row r="96" spans="1:16" ht="11.25">
      <c r="A96" s="3" t="s">
        <v>170</v>
      </c>
      <c r="B96" s="14" t="s">
        <v>37</v>
      </c>
      <c r="C96" s="61">
        <v>787868.4</v>
      </c>
      <c r="D96" s="62">
        <v>848296.3</v>
      </c>
      <c r="E96" s="62">
        <v>796540.5</v>
      </c>
      <c r="F96" s="62">
        <v>847041.4</v>
      </c>
      <c r="G96" s="62">
        <v>1114887.2</v>
      </c>
      <c r="H96" s="62">
        <v>1513999.2</v>
      </c>
      <c r="I96" s="62">
        <v>1746953.4</v>
      </c>
      <c r="J96" s="62">
        <v>1111017</v>
      </c>
      <c r="K96" s="62">
        <v>1120216.6</v>
      </c>
      <c r="L96" s="62">
        <v>802467.3</v>
      </c>
      <c r="M96" s="62">
        <v>872008.7</v>
      </c>
      <c r="N96" s="63">
        <v>693946.6</v>
      </c>
      <c r="O96" s="162">
        <f t="shared" si="10"/>
        <v>12255242.6</v>
      </c>
      <c r="P96" s="85"/>
    </row>
    <row r="97" spans="1:16" ht="11.25">
      <c r="A97" s="3" t="s">
        <v>171</v>
      </c>
      <c r="B97" s="14" t="s">
        <v>37</v>
      </c>
      <c r="C97" s="61">
        <v>1204652.8</v>
      </c>
      <c r="D97" s="62">
        <v>932566.5</v>
      </c>
      <c r="E97" s="62">
        <v>751614.2</v>
      </c>
      <c r="F97" s="62">
        <v>765278.3</v>
      </c>
      <c r="G97" s="62">
        <v>891213.06</v>
      </c>
      <c r="H97" s="62">
        <v>310814.4</v>
      </c>
      <c r="I97" s="62">
        <v>629509.4</v>
      </c>
      <c r="J97" s="62">
        <v>722021.25</v>
      </c>
      <c r="K97" s="62">
        <v>892694</v>
      </c>
      <c r="L97" s="62">
        <v>1084359</v>
      </c>
      <c r="M97" s="62">
        <v>1107712.6</v>
      </c>
      <c r="N97" s="63">
        <v>1280929.9</v>
      </c>
      <c r="O97" s="162">
        <f t="shared" si="10"/>
        <v>10573365.41</v>
      </c>
      <c r="P97" s="85"/>
    </row>
    <row r="98" spans="1:16" ht="11.25">
      <c r="A98" s="3" t="s">
        <v>188</v>
      </c>
      <c r="B98" s="14" t="s">
        <v>37</v>
      </c>
      <c r="C98" s="61">
        <v>0</v>
      </c>
      <c r="D98" s="62">
        <v>0</v>
      </c>
      <c r="E98" s="62">
        <v>0</v>
      </c>
      <c r="F98" s="62">
        <v>0</v>
      </c>
      <c r="G98" s="62">
        <v>0</v>
      </c>
      <c r="H98" s="62">
        <v>43189.9</v>
      </c>
      <c r="I98" s="62">
        <v>1260818.8</v>
      </c>
      <c r="J98" s="62">
        <v>1281894</v>
      </c>
      <c r="K98" s="62">
        <v>1116987.8</v>
      </c>
      <c r="L98" s="62">
        <v>777830.25</v>
      </c>
      <c r="M98" s="62">
        <v>640872.3</v>
      </c>
      <c r="N98" s="63">
        <v>573512.25</v>
      </c>
      <c r="O98" s="162">
        <f t="shared" si="10"/>
        <v>5695105.3</v>
      </c>
      <c r="P98" s="85"/>
    </row>
    <row r="99" spans="1:16" ht="11.25">
      <c r="A99" s="3" t="s">
        <v>172</v>
      </c>
      <c r="B99" s="14" t="s">
        <v>37</v>
      </c>
      <c r="C99" s="61">
        <v>0</v>
      </c>
      <c r="D99" s="62">
        <v>0</v>
      </c>
      <c r="E99" s="62">
        <v>0</v>
      </c>
      <c r="F99" s="62">
        <v>0</v>
      </c>
      <c r="G99" s="62">
        <v>0</v>
      </c>
      <c r="H99" s="62">
        <v>16320.998</v>
      </c>
      <c r="I99" s="62">
        <v>394188.34</v>
      </c>
      <c r="J99" s="62">
        <v>388720.25</v>
      </c>
      <c r="K99" s="62">
        <v>348837.9</v>
      </c>
      <c r="L99" s="62">
        <v>291013.34</v>
      </c>
      <c r="M99" s="62">
        <v>233011.98</v>
      </c>
      <c r="N99" s="63">
        <v>232450.86</v>
      </c>
      <c r="O99" s="162">
        <f t="shared" si="10"/>
        <v>1904543.668</v>
      </c>
      <c r="P99" s="85"/>
    </row>
    <row r="100" spans="1:16" ht="11.25">
      <c r="A100" s="3" t="s">
        <v>173</v>
      </c>
      <c r="B100" s="14" t="s">
        <v>37</v>
      </c>
      <c r="C100" s="61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14716.402</v>
      </c>
      <c r="I100" s="62">
        <v>355432.56</v>
      </c>
      <c r="J100" s="62">
        <v>350502.22</v>
      </c>
      <c r="K100" s="62">
        <v>314543.53</v>
      </c>
      <c r="L100" s="62">
        <v>262402.2</v>
      </c>
      <c r="M100" s="62">
        <v>210103.7</v>
      </c>
      <c r="N100" s="63">
        <v>209596.6</v>
      </c>
      <c r="O100" s="162">
        <f t="shared" si="10"/>
        <v>1717297.212</v>
      </c>
      <c r="P100" s="85"/>
    </row>
    <row r="101" spans="1:16" ht="11.25">
      <c r="A101" s="3" t="s">
        <v>174</v>
      </c>
      <c r="B101" s="14" t="s">
        <v>37</v>
      </c>
      <c r="C101" s="61">
        <v>330891.47</v>
      </c>
      <c r="D101" s="62">
        <v>342199.8</v>
      </c>
      <c r="E101" s="62">
        <v>340853.84</v>
      </c>
      <c r="F101" s="62">
        <v>392541.66</v>
      </c>
      <c r="G101" s="62">
        <v>340547.6</v>
      </c>
      <c r="H101" s="62">
        <v>322797.56</v>
      </c>
      <c r="I101" s="62">
        <v>352431.1</v>
      </c>
      <c r="J101" s="62">
        <v>349908.78</v>
      </c>
      <c r="K101" s="62">
        <v>405584.9</v>
      </c>
      <c r="L101" s="62">
        <v>442734</v>
      </c>
      <c r="M101" s="62">
        <v>296751.4</v>
      </c>
      <c r="N101" s="63">
        <v>412126</v>
      </c>
      <c r="O101" s="162">
        <f t="shared" si="10"/>
        <v>4329368.11</v>
      </c>
      <c r="P101" s="85"/>
    </row>
    <row r="102" spans="1:16" ht="11.25">
      <c r="A102" s="3" t="s">
        <v>175</v>
      </c>
      <c r="B102" s="14" t="s">
        <v>37</v>
      </c>
      <c r="C102" s="61">
        <v>280864.62</v>
      </c>
      <c r="D102" s="62">
        <v>338964.3</v>
      </c>
      <c r="E102" s="62">
        <v>273786.4</v>
      </c>
      <c r="F102" s="62">
        <v>221312.06</v>
      </c>
      <c r="G102" s="62">
        <v>245413.88</v>
      </c>
      <c r="H102" s="62">
        <v>268413.97</v>
      </c>
      <c r="I102" s="62">
        <v>177251.34</v>
      </c>
      <c r="J102" s="62">
        <v>200228.42</v>
      </c>
      <c r="K102" s="62">
        <v>171042.1</v>
      </c>
      <c r="L102" s="62">
        <v>160811.34</v>
      </c>
      <c r="M102" s="62">
        <v>166683.69</v>
      </c>
      <c r="N102" s="63">
        <v>239704.36</v>
      </c>
      <c r="O102" s="162">
        <f t="shared" si="10"/>
        <v>2744476.4799999995</v>
      </c>
      <c r="P102" s="85"/>
    </row>
    <row r="103" spans="1:16" ht="11.25">
      <c r="A103" s="3" t="s">
        <v>176</v>
      </c>
      <c r="B103" s="14" t="s">
        <v>35</v>
      </c>
      <c r="C103" s="61">
        <v>2315980.5</v>
      </c>
      <c r="D103" s="62">
        <v>2318339.2</v>
      </c>
      <c r="E103" s="62">
        <v>2283522.65</v>
      </c>
      <c r="F103" s="62">
        <v>1927759.64</v>
      </c>
      <c r="G103" s="62">
        <v>2270328.56</v>
      </c>
      <c r="H103" s="62">
        <v>2311706.56</v>
      </c>
      <c r="I103" s="62">
        <v>2357457</v>
      </c>
      <c r="J103" s="62">
        <v>2280373.5</v>
      </c>
      <c r="K103" s="62">
        <v>2314758.1</v>
      </c>
      <c r="L103" s="62">
        <v>1354235.74</v>
      </c>
      <c r="M103" s="62">
        <v>1978711.6800000002</v>
      </c>
      <c r="N103" s="63">
        <v>2316082.13</v>
      </c>
      <c r="O103" s="162">
        <f t="shared" si="10"/>
        <v>26029255.259999998</v>
      </c>
      <c r="P103" s="85"/>
    </row>
    <row r="104" spans="1:16" ht="11.25">
      <c r="A104" s="3" t="s">
        <v>177</v>
      </c>
      <c r="B104" s="14" t="s">
        <v>37</v>
      </c>
      <c r="C104" s="61">
        <v>183734.28</v>
      </c>
      <c r="D104" s="62">
        <v>185037.25</v>
      </c>
      <c r="E104" s="62">
        <v>149382.9</v>
      </c>
      <c r="F104" s="62">
        <v>153934.5</v>
      </c>
      <c r="G104" s="62">
        <v>158248.44</v>
      </c>
      <c r="H104" s="62">
        <v>172411.78</v>
      </c>
      <c r="I104" s="62">
        <v>160059.02</v>
      </c>
      <c r="J104" s="62">
        <v>145498.92</v>
      </c>
      <c r="K104" s="62">
        <v>147995.66</v>
      </c>
      <c r="L104" s="62">
        <v>129947.055</v>
      </c>
      <c r="M104" s="62">
        <v>115789.195</v>
      </c>
      <c r="N104" s="63">
        <v>103910.805</v>
      </c>
      <c r="O104" s="162">
        <f t="shared" si="10"/>
        <v>1805949.805</v>
      </c>
      <c r="P104" s="85"/>
    </row>
    <row r="105" spans="1:16" ht="11.25">
      <c r="A105" s="3" t="s">
        <v>178</v>
      </c>
      <c r="B105" s="14" t="s">
        <v>37</v>
      </c>
      <c r="C105" s="61">
        <v>150190.31</v>
      </c>
      <c r="D105" s="62">
        <v>152114.19</v>
      </c>
      <c r="E105" s="62">
        <v>142205.78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162">
        <f t="shared" si="10"/>
        <v>444510.28</v>
      </c>
      <c r="P105" s="85"/>
    </row>
    <row r="106" spans="1:16" ht="11.25">
      <c r="A106" s="2" t="s">
        <v>73</v>
      </c>
      <c r="B106" s="35" t="s">
        <v>37</v>
      </c>
      <c r="C106" s="64">
        <v>588690.56</v>
      </c>
      <c r="D106" s="65">
        <v>564528.3</v>
      </c>
      <c r="E106" s="65">
        <v>522745.03</v>
      </c>
      <c r="F106" s="65">
        <v>674652</v>
      </c>
      <c r="G106" s="65">
        <v>635652.2</v>
      </c>
      <c r="H106" s="65">
        <v>800665.7</v>
      </c>
      <c r="I106" s="65">
        <v>711073.2</v>
      </c>
      <c r="J106" s="65">
        <v>681964.75</v>
      </c>
      <c r="K106" s="65">
        <v>622681.44</v>
      </c>
      <c r="L106" s="65">
        <v>508157.97</v>
      </c>
      <c r="M106" s="65">
        <v>452590.25</v>
      </c>
      <c r="N106" s="66">
        <v>340340.7</v>
      </c>
      <c r="O106" s="163">
        <f t="shared" si="10"/>
        <v>7103742.1</v>
      </c>
      <c r="P106" s="85"/>
    </row>
    <row r="107" spans="1:15" ht="11.25">
      <c r="A107" s="3" t="s">
        <v>179</v>
      </c>
      <c r="C107" s="58">
        <f aca="true" t="shared" si="11" ref="C107:N107">SUM(C82:C106)</f>
        <v>14159261.17145</v>
      </c>
      <c r="D107" s="59">
        <f t="shared" si="11"/>
        <v>14799121.019200003</v>
      </c>
      <c r="E107" s="59">
        <f t="shared" si="11"/>
        <v>13250579.48</v>
      </c>
      <c r="F107" s="59">
        <f t="shared" si="11"/>
        <v>13579540.798</v>
      </c>
      <c r="G107" s="59">
        <f t="shared" si="11"/>
        <v>14360848.178</v>
      </c>
      <c r="H107" s="59">
        <f t="shared" si="11"/>
        <v>16586898.642600004</v>
      </c>
      <c r="I107" s="59">
        <f t="shared" si="11"/>
        <v>13499512.7231</v>
      </c>
      <c r="J107" s="59">
        <f t="shared" si="11"/>
        <v>12474065.9269</v>
      </c>
      <c r="K107" s="59">
        <f t="shared" si="11"/>
        <v>12667770.131899998</v>
      </c>
      <c r="L107" s="59">
        <f t="shared" si="11"/>
        <v>10955503.3377</v>
      </c>
      <c r="M107" s="59">
        <f t="shared" si="11"/>
        <v>11179777.371800002</v>
      </c>
      <c r="N107" s="60">
        <f t="shared" si="11"/>
        <v>11021655.044599999</v>
      </c>
      <c r="O107" s="80">
        <f>SUM(O82:O106)</f>
        <v>158534533.82525</v>
      </c>
    </row>
    <row r="108" spans="3:15" ht="11.25"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80"/>
    </row>
    <row r="109" spans="1:15" ht="11.25">
      <c r="A109" s="3" t="s">
        <v>162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  <c r="O109" s="80"/>
    </row>
    <row r="110" spans="1:16" ht="11.25">
      <c r="A110" s="3" t="s">
        <v>180</v>
      </c>
      <c r="B110" s="10" t="s">
        <v>295</v>
      </c>
      <c r="C110" s="61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62">
        <f aca="true" t="shared" si="12" ref="O110:O116">SUM(C110:N110)</f>
        <v>0</v>
      </c>
      <c r="P110" s="85"/>
    </row>
    <row r="111" spans="1:16" ht="11.25">
      <c r="A111" s="3" t="s">
        <v>181</v>
      </c>
      <c r="B111" s="10" t="s">
        <v>28</v>
      </c>
      <c r="C111" s="61">
        <v>361081.62</v>
      </c>
      <c r="D111" s="62">
        <v>361081.62</v>
      </c>
      <c r="E111" s="62">
        <v>361081.62</v>
      </c>
      <c r="F111" s="62">
        <v>361081.62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3">
        <v>0</v>
      </c>
      <c r="O111" s="162">
        <f t="shared" si="12"/>
        <v>1444326.48</v>
      </c>
      <c r="P111" s="85"/>
    </row>
    <row r="112" spans="1:16" ht="11.25">
      <c r="A112" s="3" t="s">
        <v>182</v>
      </c>
      <c r="B112" s="10" t="s">
        <v>28</v>
      </c>
      <c r="C112" s="61">
        <v>289739.66</v>
      </c>
      <c r="D112" s="62">
        <v>289739.66</v>
      </c>
      <c r="E112" s="62">
        <v>292763.56</v>
      </c>
      <c r="F112" s="62">
        <v>292763.56</v>
      </c>
      <c r="G112" s="62">
        <v>292763.56</v>
      </c>
      <c r="H112" s="62">
        <v>292763.56</v>
      </c>
      <c r="I112" s="62">
        <v>292763.56</v>
      </c>
      <c r="J112" s="62">
        <v>292763.56</v>
      </c>
      <c r="K112" s="62">
        <v>292763.56</v>
      </c>
      <c r="L112" s="62">
        <v>292763.56</v>
      </c>
      <c r="M112" s="62">
        <v>292763.56</v>
      </c>
      <c r="N112" s="63">
        <v>292763.56</v>
      </c>
      <c r="O112" s="162">
        <f t="shared" si="12"/>
        <v>3507114.9200000004</v>
      </c>
      <c r="P112" s="85"/>
    </row>
    <row r="113" spans="1:16" ht="11.25">
      <c r="A113" s="3" t="s">
        <v>183</v>
      </c>
      <c r="B113" s="10" t="s">
        <v>28</v>
      </c>
      <c r="C113" s="61">
        <v>1217430</v>
      </c>
      <c r="D113" s="62">
        <v>1039239.4</v>
      </c>
      <c r="E113" s="62">
        <v>1029660.7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62">
        <f t="shared" si="12"/>
        <v>3286330.0999999996</v>
      </c>
      <c r="P113" s="85"/>
    </row>
    <row r="114" spans="1:16" ht="11.25">
      <c r="A114" s="3" t="s">
        <v>74</v>
      </c>
      <c r="B114" s="10" t="s">
        <v>28</v>
      </c>
      <c r="C114" s="61">
        <v>-703534.75</v>
      </c>
      <c r="D114" s="62">
        <v>-703534.75</v>
      </c>
      <c r="E114" s="62">
        <v>-703534.75</v>
      </c>
      <c r="F114" s="62">
        <v>-703534.75</v>
      </c>
      <c r="G114" s="62">
        <v>-703534.75</v>
      </c>
      <c r="H114" s="62">
        <v>-703534.75</v>
      </c>
      <c r="I114" s="62">
        <v>-631165.2</v>
      </c>
      <c r="J114" s="62">
        <v>-631165.2</v>
      </c>
      <c r="K114" s="62">
        <v>-631165.2</v>
      </c>
      <c r="L114" s="62">
        <v>-631165.2</v>
      </c>
      <c r="M114" s="62">
        <v>-631165.2</v>
      </c>
      <c r="N114" s="63">
        <v>-631165.2</v>
      </c>
      <c r="O114" s="162">
        <f t="shared" si="12"/>
        <v>-8008199.700000001</v>
      </c>
      <c r="P114" s="85"/>
    </row>
    <row r="115" spans="1:16" ht="11.25">
      <c r="A115" s="3" t="s">
        <v>184</v>
      </c>
      <c r="B115" s="10" t="s">
        <v>28</v>
      </c>
      <c r="C115" s="61">
        <v>170715.42</v>
      </c>
      <c r="D115" s="62">
        <v>170715.42</v>
      </c>
      <c r="E115" s="62">
        <v>170715.42</v>
      </c>
      <c r="F115" s="62">
        <v>170715.42</v>
      </c>
      <c r="G115" s="62">
        <v>170715.42</v>
      </c>
      <c r="H115" s="62">
        <v>170715.42</v>
      </c>
      <c r="I115" s="62">
        <v>144344.38</v>
      </c>
      <c r="J115" s="62">
        <v>144344.38</v>
      </c>
      <c r="K115" s="62">
        <v>144344.38</v>
      </c>
      <c r="L115" s="62">
        <v>144344.38</v>
      </c>
      <c r="M115" s="62">
        <v>144344.38</v>
      </c>
      <c r="N115" s="63">
        <v>144344.38</v>
      </c>
      <c r="O115" s="162">
        <f t="shared" si="12"/>
        <v>1890358.7999999998</v>
      </c>
      <c r="P115" s="85"/>
    </row>
    <row r="116" spans="1:16" ht="11.25">
      <c r="A116" s="2" t="s">
        <v>185</v>
      </c>
      <c r="B116" s="13" t="s">
        <v>28</v>
      </c>
      <c r="C116" s="64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6">
        <v>0</v>
      </c>
      <c r="O116" s="163">
        <f t="shared" si="12"/>
        <v>0</v>
      </c>
      <c r="P116" s="85"/>
    </row>
    <row r="117" spans="1:15" ht="11.25">
      <c r="A117" s="3" t="s">
        <v>186</v>
      </c>
      <c r="C117" s="58">
        <f aca="true" t="shared" si="13" ref="C117:N117">SUM(C110:C116)</f>
        <v>1335431.95</v>
      </c>
      <c r="D117" s="59">
        <f t="shared" si="13"/>
        <v>1157241.35</v>
      </c>
      <c r="E117" s="59">
        <f t="shared" si="13"/>
        <v>1150686.5499999998</v>
      </c>
      <c r="F117" s="59">
        <f t="shared" si="13"/>
        <v>121025.84999999995</v>
      </c>
      <c r="G117" s="59">
        <f t="shared" si="13"/>
        <v>-240055.77</v>
      </c>
      <c r="H117" s="59">
        <f t="shared" si="13"/>
        <v>-240055.77</v>
      </c>
      <c r="I117" s="59">
        <f t="shared" si="13"/>
        <v>-194057.25999999995</v>
      </c>
      <c r="J117" s="59">
        <f t="shared" si="13"/>
        <v>-194057.25999999995</v>
      </c>
      <c r="K117" s="59">
        <f t="shared" si="13"/>
        <v>-194057.25999999995</v>
      </c>
      <c r="L117" s="59">
        <f t="shared" si="13"/>
        <v>-194057.25999999995</v>
      </c>
      <c r="M117" s="59">
        <f t="shared" si="13"/>
        <v>-194057.25999999995</v>
      </c>
      <c r="N117" s="60">
        <f t="shared" si="13"/>
        <v>-194057.25999999995</v>
      </c>
      <c r="O117" s="80">
        <f>SUM(O110:O116)</f>
        <v>2119930.5999999987</v>
      </c>
    </row>
    <row r="118" spans="3:15" ht="11.25"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80"/>
    </row>
    <row r="119" spans="1:15" ht="11.25">
      <c r="A119" s="3" t="s">
        <v>187</v>
      </c>
      <c r="C119" s="58">
        <f aca="true" t="shared" si="14" ref="C119:N119">C75+C78+C107+C117</f>
        <v>39075739.10282479</v>
      </c>
      <c r="D119" s="59">
        <f t="shared" si="14"/>
        <v>41592853.520553365</v>
      </c>
      <c r="E119" s="59">
        <f t="shared" si="14"/>
        <v>37000734.74849173</v>
      </c>
      <c r="F119" s="59">
        <f t="shared" si="14"/>
        <v>37636334.737577416</v>
      </c>
      <c r="G119" s="59">
        <f t="shared" si="14"/>
        <v>39693114.55973565</v>
      </c>
      <c r="H119" s="59">
        <f t="shared" si="14"/>
        <v>44050802.95288036</v>
      </c>
      <c r="I119" s="59">
        <f t="shared" si="14"/>
        <v>40691769.083842255</v>
      </c>
      <c r="J119" s="59">
        <f t="shared" si="14"/>
        <v>35674324.4109619</v>
      </c>
      <c r="K119" s="59">
        <f t="shared" si="14"/>
        <v>35336129.44099828</v>
      </c>
      <c r="L119" s="59">
        <f t="shared" si="14"/>
        <v>30737116.55172621</v>
      </c>
      <c r="M119" s="59">
        <f t="shared" si="14"/>
        <v>30806454.48602621</v>
      </c>
      <c r="N119" s="60">
        <f t="shared" si="14"/>
        <v>29638440.75526084</v>
      </c>
      <c r="O119" s="80">
        <f>O75+O78+O107+O117</f>
        <v>441933814.3508791</v>
      </c>
    </row>
    <row r="120" spans="3:15" ht="11.25"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80"/>
    </row>
    <row r="121" spans="3:15" ht="11.25"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80"/>
    </row>
    <row r="122" spans="1:15" ht="11.25">
      <c r="A122" s="3" t="s">
        <v>190</v>
      </c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80"/>
    </row>
    <row r="123" spans="1:16" ht="11.25">
      <c r="A123" s="3" t="s">
        <v>75</v>
      </c>
      <c r="C123" s="61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3">
        <v>0</v>
      </c>
      <c r="O123" s="162">
        <f aca="true" t="shared" si="15" ref="O123:O135">SUM(C123:N123)</f>
        <v>0</v>
      </c>
      <c r="P123" s="85"/>
    </row>
    <row r="124" spans="1:16" ht="11.25">
      <c r="A124" s="3" t="s">
        <v>76</v>
      </c>
      <c r="B124" s="10" t="s">
        <v>27</v>
      </c>
      <c r="C124" s="61">
        <v>85749.46</v>
      </c>
      <c r="D124" s="62">
        <v>90604.24</v>
      </c>
      <c r="E124" s="62">
        <v>203992.95</v>
      </c>
      <c r="F124" s="62">
        <v>97825.02</v>
      </c>
      <c r="G124" s="62">
        <v>141622.7</v>
      </c>
      <c r="H124" s="62">
        <v>217533.72</v>
      </c>
      <c r="I124" s="62">
        <v>135555.47</v>
      </c>
      <c r="J124" s="62">
        <v>98383.34</v>
      </c>
      <c r="K124" s="62">
        <v>100329</v>
      </c>
      <c r="L124" s="62">
        <v>71369.09</v>
      </c>
      <c r="M124" s="62">
        <v>91910.18</v>
      </c>
      <c r="N124" s="63">
        <v>141716.14</v>
      </c>
      <c r="O124" s="162">
        <f t="shared" si="15"/>
        <v>1476591.31</v>
      </c>
      <c r="P124" s="85"/>
    </row>
    <row r="125" spans="1:16" ht="11.25">
      <c r="A125" s="3" t="s">
        <v>191</v>
      </c>
      <c r="B125" s="10" t="s">
        <v>24</v>
      </c>
      <c r="C125" s="61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3">
        <v>0</v>
      </c>
      <c r="O125" s="162">
        <f t="shared" si="15"/>
        <v>0</v>
      </c>
      <c r="P125" s="85"/>
    </row>
    <row r="126" spans="1:16" ht="11.25">
      <c r="A126" s="3" t="s">
        <v>192</v>
      </c>
      <c r="C126" s="61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162">
        <f t="shared" si="15"/>
        <v>0</v>
      </c>
      <c r="P126" s="85"/>
    </row>
    <row r="127" spans="1:16" ht="11.25">
      <c r="A127" s="3" t="s">
        <v>193</v>
      </c>
      <c r="C127" s="61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3">
        <v>0</v>
      </c>
      <c r="O127" s="162">
        <f t="shared" si="15"/>
        <v>0</v>
      </c>
      <c r="P127" s="85"/>
    </row>
    <row r="128" spans="1:16" ht="11.25">
      <c r="A128" s="3" t="s">
        <v>194</v>
      </c>
      <c r="B128" s="10" t="s">
        <v>26</v>
      </c>
      <c r="C128" s="61">
        <v>4801250</v>
      </c>
      <c r="D128" s="62">
        <v>4801250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3">
        <v>0</v>
      </c>
      <c r="O128" s="162">
        <f t="shared" si="15"/>
        <v>9602500</v>
      </c>
      <c r="P128" s="85"/>
    </row>
    <row r="129" spans="1:16" ht="11.25">
      <c r="A129" s="3" t="s">
        <v>195</v>
      </c>
      <c r="C129" s="61">
        <v>-22.76001</v>
      </c>
      <c r="D129" s="62">
        <v>-2126.858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-2965.688</v>
      </c>
      <c r="N129" s="63">
        <v>-3535.3037</v>
      </c>
      <c r="O129" s="162">
        <f t="shared" si="15"/>
        <v>-8650.60971</v>
      </c>
      <c r="P129" s="85"/>
    </row>
    <row r="130" spans="1:16" ht="11.25">
      <c r="A130" s="3" t="s">
        <v>209</v>
      </c>
      <c r="B130" s="10" t="s">
        <v>24</v>
      </c>
      <c r="C130" s="61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3">
        <v>0</v>
      </c>
      <c r="O130" s="162">
        <f t="shared" si="15"/>
        <v>0</v>
      </c>
      <c r="P130" s="85"/>
    </row>
    <row r="131" spans="1:16" ht="11.25">
      <c r="A131" s="3" t="s">
        <v>196</v>
      </c>
      <c r="C131" s="61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162">
        <f t="shared" si="15"/>
        <v>0</v>
      </c>
      <c r="P131" s="85"/>
    </row>
    <row r="132" spans="1:16" ht="11.25">
      <c r="A132" s="3" t="s">
        <v>197</v>
      </c>
      <c r="C132" s="61">
        <v>375000</v>
      </c>
      <c r="D132" s="62">
        <v>375000</v>
      </c>
      <c r="E132" s="62">
        <v>375000</v>
      </c>
      <c r="F132" s="62">
        <v>375000</v>
      </c>
      <c r="G132" s="62">
        <v>375000</v>
      </c>
      <c r="H132" s="62">
        <v>375000</v>
      </c>
      <c r="I132" s="62">
        <v>450000</v>
      </c>
      <c r="J132" s="62">
        <v>450000</v>
      </c>
      <c r="K132" s="62">
        <v>450000</v>
      </c>
      <c r="L132" s="62">
        <v>450000</v>
      </c>
      <c r="M132" s="62">
        <v>450000</v>
      </c>
      <c r="N132" s="63">
        <v>450000</v>
      </c>
      <c r="O132" s="162">
        <f t="shared" si="15"/>
        <v>4950000</v>
      </c>
      <c r="P132" s="85"/>
    </row>
    <row r="133" spans="1:16" ht="11.25">
      <c r="A133" s="3" t="s">
        <v>198</v>
      </c>
      <c r="C133" s="87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3">
        <v>0</v>
      </c>
      <c r="O133" s="162">
        <f t="shared" si="15"/>
        <v>0</v>
      </c>
      <c r="P133" s="85"/>
    </row>
    <row r="134" spans="1:16" ht="11.25">
      <c r="A134" s="3" t="s">
        <v>199</v>
      </c>
      <c r="C134" s="87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3">
        <v>0</v>
      </c>
      <c r="O134" s="162">
        <f t="shared" si="15"/>
        <v>0</v>
      </c>
      <c r="P134" s="85"/>
    </row>
    <row r="135" spans="1:16" ht="11.25">
      <c r="A135" s="2" t="s">
        <v>200</v>
      </c>
      <c r="B135" s="13"/>
      <c r="C135" s="88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6">
        <v>0</v>
      </c>
      <c r="O135" s="163">
        <f t="shared" si="15"/>
        <v>0</v>
      </c>
      <c r="P135" s="85"/>
    </row>
    <row r="136" spans="1:15" ht="11.25">
      <c r="A136" s="3" t="s">
        <v>201</v>
      </c>
      <c r="C136" s="58">
        <f aca="true" t="shared" si="16" ref="C136:N136">SUM(C123:C135)</f>
        <v>5261976.69999</v>
      </c>
      <c r="D136" s="59">
        <f t="shared" si="16"/>
        <v>5264727.382</v>
      </c>
      <c r="E136" s="59">
        <f t="shared" si="16"/>
        <v>578992.95</v>
      </c>
      <c r="F136" s="59">
        <f t="shared" si="16"/>
        <v>472825.02</v>
      </c>
      <c r="G136" s="59">
        <f t="shared" si="16"/>
        <v>516622.7</v>
      </c>
      <c r="H136" s="59">
        <f t="shared" si="16"/>
        <v>592533.72</v>
      </c>
      <c r="I136" s="59">
        <f t="shared" si="16"/>
        <v>585555.47</v>
      </c>
      <c r="J136" s="59">
        <f t="shared" si="16"/>
        <v>548383.34</v>
      </c>
      <c r="K136" s="59">
        <f t="shared" si="16"/>
        <v>550329</v>
      </c>
      <c r="L136" s="59">
        <f t="shared" si="16"/>
        <v>521369.08999999997</v>
      </c>
      <c r="M136" s="59">
        <f t="shared" si="16"/>
        <v>538944.492</v>
      </c>
      <c r="N136" s="60">
        <f t="shared" si="16"/>
        <v>588180.8363000001</v>
      </c>
      <c r="O136" s="80">
        <f>SUM(O123:O135)</f>
        <v>16020440.70029</v>
      </c>
    </row>
    <row r="137" spans="3:15" ht="11.25"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80"/>
    </row>
    <row r="138" spans="1:15" ht="11.25">
      <c r="A138" s="3" t="s">
        <v>43</v>
      </c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80"/>
    </row>
    <row r="139" spans="1:16" ht="11.25">
      <c r="A139" s="3" t="s">
        <v>202</v>
      </c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3">
        <v>0</v>
      </c>
      <c r="O139" s="162">
        <f aca="true" t="shared" si="17" ref="O139:O146">SUM(C139:N139)</f>
        <v>0</v>
      </c>
      <c r="P139" s="85"/>
    </row>
    <row r="140" spans="1:16" ht="11.25">
      <c r="A140" s="3" t="s">
        <v>203</v>
      </c>
      <c r="C140" s="61">
        <v>498800</v>
      </c>
      <c r="D140" s="62">
        <v>452400</v>
      </c>
      <c r="E140" s="62">
        <v>464000</v>
      </c>
      <c r="F140" s="62">
        <v>475600</v>
      </c>
      <c r="G140" s="62">
        <v>464000</v>
      </c>
      <c r="H140" s="62">
        <v>475600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3">
        <v>0</v>
      </c>
      <c r="O140" s="162">
        <f t="shared" si="17"/>
        <v>2830400</v>
      </c>
      <c r="P140" s="85"/>
    </row>
    <row r="141" spans="1:16" ht="11.25">
      <c r="A141" s="3" t="s">
        <v>28</v>
      </c>
      <c r="C141" s="61">
        <v>8334550</v>
      </c>
      <c r="D141" s="62">
        <v>1907100</v>
      </c>
      <c r="E141" s="62">
        <v>1874000</v>
      </c>
      <c r="F141" s="62">
        <v>1537600</v>
      </c>
      <c r="G141" s="62">
        <v>1112000</v>
      </c>
      <c r="H141" s="62">
        <v>1139800</v>
      </c>
      <c r="I141" s="62">
        <v>559000</v>
      </c>
      <c r="J141" s="62">
        <v>481000</v>
      </c>
      <c r="K141" s="62">
        <v>1431300</v>
      </c>
      <c r="L141" s="62">
        <v>5091300</v>
      </c>
      <c r="M141" s="62">
        <v>5247720</v>
      </c>
      <c r="N141" s="63">
        <v>5011560</v>
      </c>
      <c r="O141" s="162">
        <f t="shared" si="17"/>
        <v>33726930</v>
      </c>
      <c r="P141" s="85"/>
    </row>
    <row r="142" spans="1:16" ht="11.25">
      <c r="A142" s="3" t="s">
        <v>204</v>
      </c>
      <c r="C142" s="61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  <c r="O142" s="162">
        <f t="shared" si="17"/>
        <v>0</v>
      </c>
      <c r="P142" s="85"/>
    </row>
    <row r="143" spans="1:16" ht="11.25">
      <c r="A143" s="3" t="s">
        <v>205</v>
      </c>
      <c r="C143" s="61">
        <v>219300</v>
      </c>
      <c r="D143" s="62">
        <v>0</v>
      </c>
      <c r="E143" s="62">
        <v>0</v>
      </c>
      <c r="F143" s="62">
        <v>709300</v>
      </c>
      <c r="G143" s="62">
        <v>244000</v>
      </c>
      <c r="H143" s="62">
        <v>250100</v>
      </c>
      <c r="I143" s="62">
        <v>953250</v>
      </c>
      <c r="J143" s="62">
        <v>891750</v>
      </c>
      <c r="K143" s="62">
        <v>953250</v>
      </c>
      <c r="L143" s="62">
        <v>1290500</v>
      </c>
      <c r="M143" s="62">
        <v>1330450</v>
      </c>
      <c r="N143" s="63">
        <v>1272100</v>
      </c>
      <c r="O143" s="162">
        <f t="shared" si="17"/>
        <v>8114000</v>
      </c>
      <c r="P143" s="85"/>
    </row>
    <row r="144" spans="1:16" ht="11.25">
      <c r="A144" s="3" t="s">
        <v>116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  <c r="O144" s="162">
        <f t="shared" si="17"/>
        <v>0</v>
      </c>
      <c r="P144" s="85"/>
    </row>
    <row r="145" spans="1:16" ht="11.25">
      <c r="A145" s="3" t="s">
        <v>206</v>
      </c>
      <c r="C145" s="61">
        <v>-7769105</v>
      </c>
      <c r="D145" s="62">
        <v>-6214815</v>
      </c>
      <c r="E145" s="62">
        <v>-6537540</v>
      </c>
      <c r="F145" s="62">
        <v>-10044176.5</v>
      </c>
      <c r="G145" s="62">
        <v>-9708511.75</v>
      </c>
      <c r="H145" s="62">
        <v>-8553945.5</v>
      </c>
      <c r="I145" s="62">
        <v>-2620690</v>
      </c>
      <c r="J145" s="62">
        <v>-2525472.5</v>
      </c>
      <c r="K145" s="62">
        <v>-3199803.7</v>
      </c>
      <c r="L145" s="62">
        <v>-3006640</v>
      </c>
      <c r="M145" s="62">
        <v>-3057470</v>
      </c>
      <c r="N145" s="63">
        <v>-2757212</v>
      </c>
      <c r="O145" s="162">
        <f t="shared" si="17"/>
        <v>-65995381.95</v>
      </c>
      <c r="P145" s="85"/>
    </row>
    <row r="146" spans="1:16" ht="11.25">
      <c r="A146" s="2" t="s">
        <v>117</v>
      </c>
      <c r="B146" s="13"/>
      <c r="C146" s="88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6">
        <v>0</v>
      </c>
      <c r="O146" s="163">
        <f t="shared" si="17"/>
        <v>0</v>
      </c>
      <c r="P146" s="85"/>
    </row>
    <row r="147" spans="1:15" ht="11.25">
      <c r="A147" s="3" t="s">
        <v>77</v>
      </c>
      <c r="C147" s="58">
        <f aca="true" t="shared" si="18" ref="C147:N147">SUM(C139:C146)</f>
        <v>1283545</v>
      </c>
      <c r="D147" s="59">
        <f t="shared" si="18"/>
        <v>-3855315</v>
      </c>
      <c r="E147" s="59">
        <f t="shared" si="18"/>
        <v>-4199540</v>
      </c>
      <c r="F147" s="59">
        <f t="shared" si="18"/>
        <v>-7321676.5</v>
      </c>
      <c r="G147" s="59">
        <f t="shared" si="18"/>
        <v>-7888511.75</v>
      </c>
      <c r="H147" s="59">
        <f t="shared" si="18"/>
        <v>-6688445.5</v>
      </c>
      <c r="I147" s="59">
        <f t="shared" si="18"/>
        <v>-1108440</v>
      </c>
      <c r="J147" s="59">
        <f t="shared" si="18"/>
        <v>-1152722.5</v>
      </c>
      <c r="K147" s="59">
        <f t="shared" si="18"/>
        <v>-815253.7000000002</v>
      </c>
      <c r="L147" s="59">
        <f t="shared" si="18"/>
        <v>3375160</v>
      </c>
      <c r="M147" s="59">
        <f t="shared" si="18"/>
        <v>3520700</v>
      </c>
      <c r="N147" s="60">
        <f t="shared" si="18"/>
        <v>3526448</v>
      </c>
      <c r="O147" s="80">
        <f>SUM(O139:O146)</f>
        <v>-21324051.950000003</v>
      </c>
    </row>
    <row r="148" spans="3:15" ht="11.2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80"/>
    </row>
    <row r="149" spans="1:15" ht="11.25">
      <c r="A149" s="3" t="s">
        <v>78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80"/>
    </row>
    <row r="150" spans="1:16" ht="11.25">
      <c r="A150" s="3" t="s">
        <v>202</v>
      </c>
      <c r="C150" s="277">
        <v>3773432.2</v>
      </c>
      <c r="D150" s="264">
        <v>746334.75</v>
      </c>
      <c r="E150" s="62">
        <v>678069.75</v>
      </c>
      <c r="F150" s="62">
        <v>1131739.9</v>
      </c>
      <c r="G150" s="62">
        <v>21380.912</v>
      </c>
      <c r="H150" s="62">
        <v>283242.28</v>
      </c>
      <c r="I150" s="62">
        <v>80220.75</v>
      </c>
      <c r="J150" s="62">
        <v>307966.94</v>
      </c>
      <c r="K150" s="62">
        <v>434082.53</v>
      </c>
      <c r="L150" s="62">
        <v>1655314.8</v>
      </c>
      <c r="M150" s="62">
        <v>6060528.5</v>
      </c>
      <c r="N150" s="63">
        <v>5084311</v>
      </c>
      <c r="O150" s="162">
        <f aca="true" t="shared" si="19" ref="O150:O156">SUM(C150:N150)</f>
        <v>20256624.312</v>
      </c>
      <c r="P150" s="3">
        <f>O150-'Base Forecast'!O150</f>
        <v>31292.94999999553</v>
      </c>
    </row>
    <row r="151" spans="1:16" ht="11.25">
      <c r="A151" s="3" t="s">
        <v>203</v>
      </c>
      <c r="C151" s="277">
        <v>446880.28</v>
      </c>
      <c r="D151" s="62">
        <v>181747.62</v>
      </c>
      <c r="E151" s="62">
        <v>1143491.1</v>
      </c>
      <c r="F151" s="62">
        <v>281911.94</v>
      </c>
      <c r="G151" s="62">
        <v>538491.2</v>
      </c>
      <c r="H151" s="62">
        <v>734529.8</v>
      </c>
      <c r="I151" s="62">
        <v>1777901.6</v>
      </c>
      <c r="J151" s="62">
        <v>24842.77</v>
      </c>
      <c r="K151" s="62">
        <v>1858672.1</v>
      </c>
      <c r="L151" s="62">
        <v>282297.97</v>
      </c>
      <c r="M151" s="62">
        <v>130610.62</v>
      </c>
      <c r="N151" s="63">
        <v>546824</v>
      </c>
      <c r="O151" s="162">
        <f t="shared" si="19"/>
        <v>7948200.999999998</v>
      </c>
      <c r="P151" s="3">
        <f>O151-'Base Forecast'!O151</f>
        <v>172470</v>
      </c>
    </row>
    <row r="152" spans="1:16" ht="11.25">
      <c r="A152" s="3" t="s">
        <v>28</v>
      </c>
      <c r="C152" s="277">
        <v>9465607</v>
      </c>
      <c r="D152" s="264">
        <v>14814972</v>
      </c>
      <c r="E152" s="62">
        <v>6794768</v>
      </c>
      <c r="F152" s="62">
        <v>6079622.5</v>
      </c>
      <c r="G152" s="62">
        <v>2936136.8</v>
      </c>
      <c r="H152" s="62">
        <v>2099650.5</v>
      </c>
      <c r="I152" s="62">
        <v>7978007.5</v>
      </c>
      <c r="J152" s="62">
        <v>12220214</v>
      </c>
      <c r="K152" s="62">
        <v>18277208</v>
      </c>
      <c r="L152" s="62">
        <v>14105245</v>
      </c>
      <c r="M152" s="62">
        <v>11949737</v>
      </c>
      <c r="N152" s="63">
        <v>9647188</v>
      </c>
      <c r="O152" s="162">
        <f t="shared" si="19"/>
        <v>116368356.3</v>
      </c>
      <c r="P152" s="3">
        <f>O152-'Base Forecast'!O152</f>
        <v>-25959</v>
      </c>
    </row>
    <row r="153" spans="1:16" ht="11.25">
      <c r="A153" s="3" t="s">
        <v>204</v>
      </c>
      <c r="C153" s="277">
        <v>5124127.5</v>
      </c>
      <c r="D153" s="264">
        <v>2209843.2</v>
      </c>
      <c r="E153" s="62">
        <v>1432588.9</v>
      </c>
      <c r="F153" s="62">
        <v>4693276.5</v>
      </c>
      <c r="G153" s="62">
        <v>3236804.5</v>
      </c>
      <c r="H153" s="62">
        <v>7340310.5</v>
      </c>
      <c r="I153" s="62">
        <v>3231644</v>
      </c>
      <c r="J153" s="62">
        <v>4967069.5</v>
      </c>
      <c r="K153" s="62">
        <v>3531523.5</v>
      </c>
      <c r="L153" s="62">
        <v>11826668</v>
      </c>
      <c r="M153" s="62">
        <v>3218504.2</v>
      </c>
      <c r="N153" s="63">
        <v>3333104</v>
      </c>
      <c r="O153" s="162">
        <f t="shared" si="19"/>
        <v>54145464.300000004</v>
      </c>
      <c r="P153" s="3">
        <f>O153-'Base Forecast'!O153</f>
        <v>1116480.700000003</v>
      </c>
    </row>
    <row r="154" spans="1:16" ht="11.25">
      <c r="A154" s="3" t="s">
        <v>205</v>
      </c>
      <c r="C154" s="87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151865.3</v>
      </c>
      <c r="M154" s="62">
        <v>120624.22</v>
      </c>
      <c r="N154" s="63">
        <v>47407.21</v>
      </c>
      <c r="O154" s="162">
        <f t="shared" si="19"/>
        <v>319896.73000000004</v>
      </c>
      <c r="P154" s="85"/>
    </row>
    <row r="155" spans="1:16" ht="11.25">
      <c r="A155" s="3" t="s">
        <v>118</v>
      </c>
      <c r="C155" s="61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3">
        <v>0</v>
      </c>
      <c r="O155" s="162">
        <f t="shared" si="19"/>
        <v>0</v>
      </c>
      <c r="P155" s="85"/>
    </row>
    <row r="156" spans="1:16" ht="11.25">
      <c r="A156" s="2" t="s">
        <v>207</v>
      </c>
      <c r="B156" s="13"/>
      <c r="C156" s="64">
        <v>4738.78855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74075.914</v>
      </c>
      <c r="N156" s="66">
        <v>0</v>
      </c>
      <c r="O156" s="163">
        <f t="shared" si="19"/>
        <v>78814.70255</v>
      </c>
      <c r="P156" s="85"/>
    </row>
    <row r="157" spans="1:15" ht="11.25">
      <c r="A157" s="3" t="s">
        <v>79</v>
      </c>
      <c r="C157" s="58">
        <f aca="true" t="shared" si="20" ref="C157:N157">SUM(C150:C156)</f>
        <v>18814785.76855</v>
      </c>
      <c r="D157" s="59">
        <f t="shared" si="20"/>
        <v>17952897.57</v>
      </c>
      <c r="E157" s="193">
        <f t="shared" si="20"/>
        <v>10048917.75</v>
      </c>
      <c r="F157" s="193">
        <f t="shared" si="20"/>
        <v>12186550.84</v>
      </c>
      <c r="G157" s="193">
        <f t="shared" si="20"/>
        <v>6732813.412</v>
      </c>
      <c r="H157" s="193">
        <f t="shared" si="20"/>
        <v>10457733.08</v>
      </c>
      <c r="I157" s="193">
        <f t="shared" si="20"/>
        <v>13067773.85</v>
      </c>
      <c r="J157" s="193">
        <f t="shared" si="20"/>
        <v>17520093.21</v>
      </c>
      <c r="K157" s="193">
        <f t="shared" si="20"/>
        <v>24101486.13</v>
      </c>
      <c r="L157" s="193">
        <f t="shared" si="20"/>
        <v>28021391.07</v>
      </c>
      <c r="M157" s="193">
        <f t="shared" si="20"/>
        <v>21554080.454</v>
      </c>
      <c r="N157" s="267">
        <f t="shared" si="20"/>
        <v>18658834.21</v>
      </c>
      <c r="O157" s="80">
        <f>SUM(O150:O156)</f>
        <v>199117357.34454998</v>
      </c>
    </row>
    <row r="158" spans="3:15" ht="11.2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80"/>
    </row>
    <row r="159" spans="1:15" ht="11.25">
      <c r="A159" s="6" t="s">
        <v>208</v>
      </c>
      <c r="B159" s="34"/>
      <c r="C159" s="67">
        <f aca="true" t="shared" si="21" ref="C159:N159">C119+C136+C147+C157</f>
        <v>64436046.57136479</v>
      </c>
      <c r="D159" s="68">
        <f t="shared" si="21"/>
        <v>60955163.472553365</v>
      </c>
      <c r="E159" s="68">
        <f t="shared" si="21"/>
        <v>43429105.44849173</v>
      </c>
      <c r="F159" s="68">
        <f t="shared" si="21"/>
        <v>42974034.09757742</v>
      </c>
      <c r="G159" s="68">
        <f t="shared" si="21"/>
        <v>39054038.92173565</v>
      </c>
      <c r="H159" s="68">
        <f t="shared" si="21"/>
        <v>48412624.25288036</v>
      </c>
      <c r="I159" s="68">
        <f t="shared" si="21"/>
        <v>53236658.403842255</v>
      </c>
      <c r="J159" s="68">
        <f t="shared" si="21"/>
        <v>52590078.46096191</v>
      </c>
      <c r="K159" s="68">
        <f t="shared" si="21"/>
        <v>59172690.87099828</v>
      </c>
      <c r="L159" s="68">
        <f t="shared" si="21"/>
        <v>62655036.71172621</v>
      </c>
      <c r="M159" s="68">
        <f t="shared" si="21"/>
        <v>56420179.43202621</v>
      </c>
      <c r="N159" s="69">
        <f t="shared" si="21"/>
        <v>52411903.80156084</v>
      </c>
      <c r="O159" s="81">
        <f>O119+O136+O147+O157</f>
        <v>635747560.4457191</v>
      </c>
    </row>
    <row r="160" spans="3:15" ht="11.2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80"/>
    </row>
    <row r="161" spans="3:15" ht="11.2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80"/>
    </row>
    <row r="162" spans="1:15" ht="11.25">
      <c r="A162" s="3" t="s">
        <v>210</v>
      </c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  <c r="O162" s="80"/>
    </row>
    <row r="163" spans="1:16" ht="11.25">
      <c r="A163" s="3" t="s">
        <v>80</v>
      </c>
      <c r="C163" s="61">
        <v>10984615.2</v>
      </c>
      <c r="D163" s="62">
        <v>11179306</v>
      </c>
      <c r="E163" s="62">
        <v>11504257.2</v>
      </c>
      <c r="F163" s="62">
        <v>11147390.1</v>
      </c>
      <c r="G163" s="62">
        <v>11550830.5</v>
      </c>
      <c r="H163" s="62">
        <v>12417186</v>
      </c>
      <c r="I163" s="62">
        <v>11903130.8</v>
      </c>
      <c r="J163" s="62">
        <v>11806207.8</v>
      </c>
      <c r="K163" s="62">
        <v>11804732.8</v>
      </c>
      <c r="L163" s="62">
        <v>11783714.2</v>
      </c>
      <c r="M163" s="62">
        <v>11133528.8</v>
      </c>
      <c r="N163" s="63">
        <v>11318287.5</v>
      </c>
      <c r="O163" s="162">
        <f>SUM(C163:N163)</f>
        <v>138533186.89999998</v>
      </c>
      <c r="P163" s="85"/>
    </row>
    <row r="164" spans="1:16" ht="11.25">
      <c r="A164" s="2" t="s">
        <v>81</v>
      </c>
      <c r="C164" s="279">
        <v>9013.525</v>
      </c>
      <c r="D164" s="280">
        <v>10556.897</v>
      </c>
      <c r="E164" s="65">
        <v>14228.203</v>
      </c>
      <c r="F164" s="65">
        <v>24982.506</v>
      </c>
      <c r="G164" s="65">
        <v>13779.355</v>
      </c>
      <c r="H164" s="65">
        <v>18073.309</v>
      </c>
      <c r="I164" s="65">
        <v>21958.746</v>
      </c>
      <c r="J164" s="65">
        <v>19989.59</v>
      </c>
      <c r="K164" s="65">
        <v>21738.217</v>
      </c>
      <c r="L164" s="65">
        <v>2269.415</v>
      </c>
      <c r="M164" s="65">
        <v>7235.561</v>
      </c>
      <c r="N164" s="66">
        <v>23888.973</v>
      </c>
      <c r="O164" s="162">
        <f>SUM(C164:N164)</f>
        <v>187714.29700000002</v>
      </c>
      <c r="P164" s="3">
        <f>O164-'Base Forecast'!O164</f>
        <v>5.945000000006985</v>
      </c>
    </row>
    <row r="165" spans="1:15" ht="11.25">
      <c r="A165" s="6" t="s">
        <v>82</v>
      </c>
      <c r="B165" s="34"/>
      <c r="C165" s="67">
        <f aca="true" t="shared" si="22" ref="C165:N165">SUM(C163:C164)</f>
        <v>10993628.725</v>
      </c>
      <c r="D165" s="68">
        <f t="shared" si="22"/>
        <v>11189862.897</v>
      </c>
      <c r="E165" s="68">
        <f t="shared" si="22"/>
        <v>11518485.402999999</v>
      </c>
      <c r="F165" s="68">
        <f t="shared" si="22"/>
        <v>11172372.605999999</v>
      </c>
      <c r="G165" s="68">
        <f t="shared" si="22"/>
        <v>11564609.855</v>
      </c>
      <c r="H165" s="68">
        <f t="shared" si="22"/>
        <v>12435259.309</v>
      </c>
      <c r="I165" s="68">
        <f t="shared" si="22"/>
        <v>11925089.546</v>
      </c>
      <c r="J165" s="68">
        <f t="shared" si="22"/>
        <v>11826197.39</v>
      </c>
      <c r="K165" s="68">
        <f t="shared" si="22"/>
        <v>11826471.017</v>
      </c>
      <c r="L165" s="68">
        <f t="shared" si="22"/>
        <v>11785983.614999998</v>
      </c>
      <c r="M165" s="68">
        <f t="shared" si="22"/>
        <v>11140764.361000001</v>
      </c>
      <c r="N165" s="69">
        <f t="shared" si="22"/>
        <v>11342176.473</v>
      </c>
      <c r="O165" s="81">
        <f>SUM(O163:O164)</f>
        <v>138720901.19699997</v>
      </c>
    </row>
    <row r="166" spans="3:15" ht="11.25"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80"/>
    </row>
    <row r="167" spans="1:15" ht="11.25">
      <c r="A167" s="3" t="s">
        <v>211</v>
      </c>
      <c r="C167" s="17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60"/>
      <c r="O167" s="80"/>
    </row>
    <row r="168" spans="1:16" ht="11.25">
      <c r="A168" s="3" t="s">
        <v>44</v>
      </c>
      <c r="C168" s="277">
        <v>1670270.97853</v>
      </c>
      <c r="D168" s="264">
        <v>1787213.86975</v>
      </c>
      <c r="E168" s="62">
        <v>1709350.89903</v>
      </c>
      <c r="F168" s="62">
        <v>1766071.48235</v>
      </c>
      <c r="G168" s="62">
        <v>1740296.67501</v>
      </c>
      <c r="H168" s="62">
        <v>1818253.79976</v>
      </c>
      <c r="I168" s="62">
        <v>1609282.93917</v>
      </c>
      <c r="J168" s="62">
        <v>1521622.1404</v>
      </c>
      <c r="K168" s="62">
        <v>1674163.89218</v>
      </c>
      <c r="L168" s="62">
        <v>933500.07465</v>
      </c>
      <c r="M168" s="62">
        <v>1422951.63075</v>
      </c>
      <c r="N168" s="63">
        <v>1405258.68608</v>
      </c>
      <c r="O168" s="162">
        <f aca="true" t="shared" si="23" ref="O168:O179">SUM(C168:N168)</f>
        <v>19058237.06766</v>
      </c>
      <c r="P168" s="3">
        <f>O168-'Base Forecast'!O168</f>
        <v>8745.530319999903</v>
      </c>
    </row>
    <row r="169" spans="1:16" ht="11.25">
      <c r="A169" s="3" t="s">
        <v>45</v>
      </c>
      <c r="B169" s="10" t="s">
        <v>223</v>
      </c>
      <c r="C169" s="277">
        <v>4992369.8401</v>
      </c>
      <c r="D169" s="264">
        <v>5047071.267</v>
      </c>
      <c r="E169" s="62">
        <v>4857999.0519</v>
      </c>
      <c r="F169" s="62">
        <v>4987854.5767</v>
      </c>
      <c r="G169" s="62">
        <v>4832181.1987</v>
      </c>
      <c r="H169" s="62">
        <v>4987394.2241</v>
      </c>
      <c r="I169" s="62">
        <v>4983258.9827</v>
      </c>
      <c r="J169" s="62">
        <v>4665805.2551</v>
      </c>
      <c r="K169" s="62">
        <v>4988401.3741</v>
      </c>
      <c r="L169" s="62">
        <v>4741526.3395</v>
      </c>
      <c r="M169" s="62">
        <v>2528745.6001</v>
      </c>
      <c r="N169" s="63">
        <v>4725799.3305</v>
      </c>
      <c r="O169" s="162">
        <f t="shared" si="23"/>
        <v>56338407.0405</v>
      </c>
      <c r="P169" s="3">
        <f>O169-'Base Forecast'!O169</f>
        <v>-3367.7736000046134</v>
      </c>
    </row>
    <row r="170" spans="1:16" ht="11.25">
      <c r="A170" s="3" t="s">
        <v>46</v>
      </c>
      <c r="C170" s="61">
        <v>1256692.91085</v>
      </c>
      <c r="D170" s="62">
        <v>1269875.13936</v>
      </c>
      <c r="E170" s="62">
        <v>1228546.25184</v>
      </c>
      <c r="F170" s="62">
        <v>1267045.04592</v>
      </c>
      <c r="G170" s="62">
        <v>1228546.25184</v>
      </c>
      <c r="H170" s="62">
        <v>1268460.09264</v>
      </c>
      <c r="I170" s="62">
        <v>1268460.09264</v>
      </c>
      <c r="J170" s="62">
        <v>1187217.36432</v>
      </c>
      <c r="K170" s="62">
        <v>1268460.09264</v>
      </c>
      <c r="L170" s="62">
        <v>968465.89056</v>
      </c>
      <c r="M170" s="62">
        <v>1037461.21656</v>
      </c>
      <c r="N170" s="63">
        <v>1205875.54272</v>
      </c>
      <c r="O170" s="162">
        <f t="shared" si="23"/>
        <v>14455105.891889999</v>
      </c>
      <c r="P170" s="3"/>
    </row>
    <row r="171" spans="1:16" ht="11.25">
      <c r="A171" s="3" t="s">
        <v>47</v>
      </c>
      <c r="C171" s="61">
        <v>1963450.747</v>
      </c>
      <c r="D171" s="62">
        <v>1968555.8494</v>
      </c>
      <c r="E171" s="62">
        <v>1896964.5682</v>
      </c>
      <c r="F171" s="62">
        <v>1965030.2599</v>
      </c>
      <c r="G171" s="62">
        <v>1921179.312</v>
      </c>
      <c r="H171" s="62">
        <v>1984903.1952</v>
      </c>
      <c r="I171" s="62">
        <v>1984903.1952</v>
      </c>
      <c r="J171" s="62">
        <v>1857025.3008</v>
      </c>
      <c r="K171" s="62">
        <v>1984903.1952</v>
      </c>
      <c r="L171" s="62">
        <v>1920749.184</v>
      </c>
      <c r="M171" s="62">
        <v>1508360.928</v>
      </c>
      <c r="N171" s="63">
        <v>1908668.82432</v>
      </c>
      <c r="O171" s="162">
        <f t="shared" si="23"/>
        <v>22864694.559219997</v>
      </c>
      <c r="P171" s="3"/>
    </row>
    <row r="172" spans="1:16" ht="11.25">
      <c r="A172" s="3" t="s">
        <v>48</v>
      </c>
      <c r="C172" s="61">
        <v>5247493.387</v>
      </c>
      <c r="D172" s="62">
        <v>5328069.8131</v>
      </c>
      <c r="E172" s="62">
        <v>5107634.9198</v>
      </c>
      <c r="F172" s="62">
        <v>5241370.8751</v>
      </c>
      <c r="G172" s="62">
        <v>4902526.5554</v>
      </c>
      <c r="H172" s="62">
        <v>4559460.4624</v>
      </c>
      <c r="I172" s="62">
        <v>4240603.83389</v>
      </c>
      <c r="J172" s="62">
        <v>4742104.813</v>
      </c>
      <c r="K172" s="62">
        <v>5136359.4721</v>
      </c>
      <c r="L172" s="62">
        <v>3249429.6842</v>
      </c>
      <c r="M172" s="62">
        <v>4361917.0941</v>
      </c>
      <c r="N172" s="63">
        <v>4895273.19623</v>
      </c>
      <c r="O172" s="162">
        <f t="shared" si="23"/>
        <v>57012244.10632</v>
      </c>
      <c r="P172" s="3"/>
    </row>
    <row r="173" spans="1:16" ht="11.25">
      <c r="A173" s="3" t="s">
        <v>51</v>
      </c>
      <c r="C173" s="61">
        <v>1042786.562</v>
      </c>
      <c r="D173" s="62">
        <v>1053537.384</v>
      </c>
      <c r="E173" s="62">
        <v>1013577.428</v>
      </c>
      <c r="F173" s="62">
        <v>1048053.894</v>
      </c>
      <c r="G173" s="62">
        <v>1039741.1616</v>
      </c>
      <c r="H173" s="62">
        <v>1074304.0908</v>
      </c>
      <c r="I173" s="62">
        <v>1073464.85197</v>
      </c>
      <c r="J173" s="62">
        <v>1004934.2244</v>
      </c>
      <c r="K173" s="62">
        <v>1074304.0908</v>
      </c>
      <c r="L173" s="62">
        <v>543204.86297</v>
      </c>
      <c r="M173" s="62">
        <v>998888.88086</v>
      </c>
      <c r="N173" s="63">
        <v>878854.10018</v>
      </c>
      <c r="O173" s="162">
        <f t="shared" si="23"/>
        <v>11845651.53158</v>
      </c>
      <c r="P173" s="3"/>
    </row>
    <row r="174" spans="1:16" ht="11.25">
      <c r="A174" s="3" t="s">
        <v>53</v>
      </c>
      <c r="C174" s="277">
        <v>10890159.2158</v>
      </c>
      <c r="D174" s="264">
        <v>11815560.5999</v>
      </c>
      <c r="E174" s="62">
        <v>11230473.4094</v>
      </c>
      <c r="F174" s="62">
        <v>11801651.4134</v>
      </c>
      <c r="G174" s="62">
        <v>11410837.6594</v>
      </c>
      <c r="H174" s="62">
        <v>11919973.3684</v>
      </c>
      <c r="I174" s="62">
        <v>12588016.0076</v>
      </c>
      <c r="J174" s="62">
        <v>11766896.4438</v>
      </c>
      <c r="K174" s="62">
        <v>11407973.4075</v>
      </c>
      <c r="L174" s="62">
        <v>9303454.2902</v>
      </c>
      <c r="M174" s="62">
        <v>12456340.0382</v>
      </c>
      <c r="N174" s="63">
        <v>11879029.9396</v>
      </c>
      <c r="O174" s="162">
        <f t="shared" si="23"/>
        <v>138470365.7932</v>
      </c>
      <c r="P174" s="3">
        <f>O174-'Base Forecast'!O174</f>
        <v>85460.08030000329</v>
      </c>
    </row>
    <row r="175" spans="1:16" ht="11.25">
      <c r="A175" s="3" t="s">
        <v>54</v>
      </c>
      <c r="C175" s="277">
        <v>8646841.5599</v>
      </c>
      <c r="D175" s="62">
        <v>8995830.0471</v>
      </c>
      <c r="E175" s="62">
        <v>8224708.3948</v>
      </c>
      <c r="F175" s="62">
        <v>7108014.5169</v>
      </c>
      <c r="G175" s="62">
        <v>8214241.2874</v>
      </c>
      <c r="H175" s="62">
        <v>9112870.2954</v>
      </c>
      <c r="I175" s="62">
        <v>8570814.8203</v>
      </c>
      <c r="J175" s="62">
        <v>8065023.2598</v>
      </c>
      <c r="K175" s="62">
        <v>8615527.6432</v>
      </c>
      <c r="L175" s="62">
        <v>8267941.1257</v>
      </c>
      <c r="M175" s="62">
        <v>8149202.3974</v>
      </c>
      <c r="N175" s="63">
        <v>7860071.4955</v>
      </c>
      <c r="O175" s="162">
        <f t="shared" si="23"/>
        <v>99831086.8434</v>
      </c>
      <c r="P175" s="3">
        <f>O175-'Base Forecast'!O175</f>
        <v>5235.31440000236</v>
      </c>
    </row>
    <row r="176" spans="1:16" ht="11.25">
      <c r="A176" s="3" t="s">
        <v>55</v>
      </c>
      <c r="C176" s="277">
        <v>17233482.2737</v>
      </c>
      <c r="D176" s="264">
        <v>17526729.0732</v>
      </c>
      <c r="E176" s="62">
        <v>16878473.499</v>
      </c>
      <c r="F176" s="62">
        <v>17692408.5817</v>
      </c>
      <c r="G176" s="62">
        <v>16395624.197</v>
      </c>
      <c r="H176" s="62">
        <v>16415374.8611</v>
      </c>
      <c r="I176" s="62">
        <v>16261169.6463</v>
      </c>
      <c r="J176" s="62">
        <v>15194706.3916</v>
      </c>
      <c r="K176" s="62">
        <v>15952920.1964</v>
      </c>
      <c r="L176" s="62">
        <v>12833755.7195</v>
      </c>
      <c r="M176" s="62">
        <v>12021871.7691</v>
      </c>
      <c r="N176" s="63">
        <v>13566926.0291</v>
      </c>
      <c r="O176" s="162">
        <f t="shared" si="23"/>
        <v>187973442.23770002</v>
      </c>
      <c r="P176" s="3">
        <f>O176-'Base Forecast'!O176</f>
        <v>-9654.385099977255</v>
      </c>
    </row>
    <row r="177" spans="1:16" ht="11.25">
      <c r="A177" s="3" t="s">
        <v>58</v>
      </c>
      <c r="C177" s="277">
        <v>9147738.1061</v>
      </c>
      <c r="D177" s="62">
        <v>9266356.7519</v>
      </c>
      <c r="E177" s="62">
        <v>8971613.4913</v>
      </c>
      <c r="F177" s="62">
        <v>9280096.1778</v>
      </c>
      <c r="G177" s="62">
        <v>8985138.6559</v>
      </c>
      <c r="H177" s="62">
        <v>9259299.8304</v>
      </c>
      <c r="I177" s="62">
        <v>9260602.219</v>
      </c>
      <c r="J177" s="62">
        <v>8661225.3402</v>
      </c>
      <c r="K177" s="62">
        <v>6551455.5003</v>
      </c>
      <c r="L177" s="62">
        <v>8662075.8457</v>
      </c>
      <c r="M177" s="62">
        <v>9213919.4693</v>
      </c>
      <c r="N177" s="63">
        <v>8788369.2683</v>
      </c>
      <c r="O177" s="162">
        <f t="shared" si="23"/>
        <v>106047890.6562</v>
      </c>
      <c r="P177" s="3">
        <f>O177-'Base Forecast'!O177</f>
        <v>-1343.0941999852657</v>
      </c>
    </row>
    <row r="178" spans="1:16" ht="11.25">
      <c r="A178" s="3" t="s">
        <v>214</v>
      </c>
      <c r="C178" s="90">
        <v>-89606.31921716618</v>
      </c>
      <c r="D178" s="91">
        <v>-85872.37516300881</v>
      </c>
      <c r="E178" s="91">
        <v>-48314.23780732408</v>
      </c>
      <c r="F178" s="91">
        <v>-93356.00739664237</v>
      </c>
      <c r="G178" s="91">
        <v>-89894.67822592863</v>
      </c>
      <c r="H178" s="91">
        <v>-68870.90026763733</v>
      </c>
      <c r="I178" s="91">
        <v>-40180.82443145011</v>
      </c>
      <c r="J178" s="91">
        <v>-72929.33984478815</v>
      </c>
      <c r="K178" s="91">
        <v>-61392.244963503166</v>
      </c>
      <c r="L178" s="91">
        <v>-68821.57694562191</v>
      </c>
      <c r="M178" s="91">
        <v>-101576.63013859408</v>
      </c>
      <c r="N178" s="268">
        <v>-57930.05769870016</v>
      </c>
      <c r="O178" s="162">
        <f t="shared" si="23"/>
        <v>-878745.192100365</v>
      </c>
      <c r="P178" s="3">
        <f>O178-'Base Forecast'!O178</f>
        <v>5.513292293064296</v>
      </c>
    </row>
    <row r="179" spans="1:16" ht="11.25">
      <c r="A179" s="2" t="s">
        <v>59</v>
      </c>
      <c r="C179" s="64">
        <v>1741840.08</v>
      </c>
      <c r="D179" s="65">
        <v>1744121.9424</v>
      </c>
      <c r="E179" s="65">
        <v>1687565.5104</v>
      </c>
      <c r="F179" s="65">
        <v>1741840.08</v>
      </c>
      <c r="G179" s="65">
        <v>1728874.5408</v>
      </c>
      <c r="H179" s="65">
        <v>1785644.4672</v>
      </c>
      <c r="I179" s="65">
        <v>1785644.4672</v>
      </c>
      <c r="J179" s="65">
        <v>1670932.944</v>
      </c>
      <c r="K179" s="65">
        <v>1785644.4672</v>
      </c>
      <c r="L179" s="65">
        <v>1727702.8704</v>
      </c>
      <c r="M179" s="65">
        <v>1744121.9424</v>
      </c>
      <c r="N179" s="66">
        <v>1608953.1336</v>
      </c>
      <c r="O179" s="163">
        <f t="shared" si="23"/>
        <v>20752886.4456</v>
      </c>
      <c r="P179" s="3"/>
    </row>
    <row r="180" spans="1:16" ht="11.25">
      <c r="A180" s="6" t="s">
        <v>215</v>
      </c>
      <c r="B180" s="34"/>
      <c r="C180" s="67">
        <f aca="true" t="shared" si="24" ref="C180:N180">SUM(C168:C179)</f>
        <v>63743519.34176283</v>
      </c>
      <c r="D180" s="68">
        <f t="shared" si="24"/>
        <v>65717049.361946985</v>
      </c>
      <c r="E180" s="68">
        <f t="shared" si="24"/>
        <v>62758593.18586267</v>
      </c>
      <c r="F180" s="68">
        <f t="shared" si="24"/>
        <v>63806080.896373354</v>
      </c>
      <c r="G180" s="68">
        <f t="shared" si="24"/>
        <v>62309292.81682406</v>
      </c>
      <c r="H180" s="68">
        <f t="shared" si="24"/>
        <v>64117067.78713236</v>
      </c>
      <c r="I180" s="68">
        <f t="shared" si="24"/>
        <v>63586040.23153856</v>
      </c>
      <c r="J180" s="68">
        <f t="shared" si="24"/>
        <v>60264564.13757521</v>
      </c>
      <c r="K180" s="68">
        <f t="shared" si="24"/>
        <v>60378721.086656496</v>
      </c>
      <c r="L180" s="68">
        <f t="shared" si="24"/>
        <v>53082984.31043438</v>
      </c>
      <c r="M180" s="68">
        <f t="shared" si="24"/>
        <v>55342204.33663141</v>
      </c>
      <c r="N180" s="69">
        <f t="shared" si="24"/>
        <v>58665149.488431305</v>
      </c>
      <c r="O180" s="81">
        <f>SUM(O168:O179)</f>
        <v>733771266.9811697</v>
      </c>
      <c r="P180" s="3"/>
    </row>
    <row r="181" spans="3:16" ht="11.25">
      <c r="C181" s="266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267"/>
      <c r="O181" s="80"/>
      <c r="P181" s="3"/>
    </row>
    <row r="182" spans="1:16" ht="11.25">
      <c r="A182" s="3" t="s">
        <v>212</v>
      </c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80"/>
      <c r="P182" s="3"/>
    </row>
    <row r="183" spans="1:16" ht="11.25">
      <c r="A183" s="3" t="s">
        <v>216</v>
      </c>
      <c r="C183" s="87">
        <v>0</v>
      </c>
      <c r="D183" s="62">
        <v>8518361.4835</v>
      </c>
      <c r="E183" s="62">
        <v>9528319.06</v>
      </c>
      <c r="F183" s="62">
        <v>8774135.996</v>
      </c>
      <c r="G183" s="62">
        <v>8965041.0105</v>
      </c>
      <c r="H183" s="62">
        <v>12116219.0478</v>
      </c>
      <c r="I183" s="62">
        <v>8057355.914700001</v>
      </c>
      <c r="J183" s="62">
        <v>78220.36199999996</v>
      </c>
      <c r="K183" s="62">
        <v>0</v>
      </c>
      <c r="L183" s="62">
        <v>0</v>
      </c>
      <c r="M183" s="62">
        <v>0</v>
      </c>
      <c r="N183" s="63">
        <v>0</v>
      </c>
      <c r="O183" s="162">
        <f aca="true" t="shared" si="25" ref="O183:O189">SUM(C183:N183)</f>
        <v>56037652.87450001</v>
      </c>
      <c r="P183" s="3"/>
    </row>
    <row r="184" spans="1:16" ht="11.25">
      <c r="A184" s="3" t="s">
        <v>42</v>
      </c>
      <c r="C184" s="277">
        <v>6801143.70042</v>
      </c>
      <c r="D184" s="264">
        <v>7000839.17378</v>
      </c>
      <c r="E184" s="62">
        <v>6735150.424399999</v>
      </c>
      <c r="F184" s="62">
        <v>6177297.39065</v>
      </c>
      <c r="G184" s="62">
        <v>7303734.280399999</v>
      </c>
      <c r="H184" s="62">
        <v>8384072.001049999</v>
      </c>
      <c r="I184" s="62">
        <v>8596805.624</v>
      </c>
      <c r="J184" s="62">
        <v>7890821.74946</v>
      </c>
      <c r="K184" s="62">
        <v>8054023.03444</v>
      </c>
      <c r="L184" s="62">
        <v>7060151.047760001</v>
      </c>
      <c r="M184" s="62">
        <v>7227833.482000001</v>
      </c>
      <c r="N184" s="63">
        <v>7124135.18835</v>
      </c>
      <c r="O184" s="162">
        <f t="shared" si="25"/>
        <v>88356007.09670998</v>
      </c>
      <c r="P184" s="3">
        <f>O184-'Base Forecast'!O184</f>
        <v>726.3576099872589</v>
      </c>
    </row>
    <row r="185" spans="1:16" ht="11.25">
      <c r="A185" s="3" t="s">
        <v>49</v>
      </c>
      <c r="B185" s="10" t="s">
        <v>86</v>
      </c>
      <c r="C185" s="277">
        <v>1959563.24224</v>
      </c>
      <c r="D185" s="264">
        <v>1983083.81425</v>
      </c>
      <c r="E185" s="62">
        <v>151992.88632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568956.80504</v>
      </c>
      <c r="O185" s="162">
        <f t="shared" si="25"/>
        <v>4663596.747850001</v>
      </c>
      <c r="P185" s="3">
        <f>O185-'Base Forecast'!O185</f>
        <v>8358.601500000805</v>
      </c>
    </row>
    <row r="186" spans="1:16" ht="11.25">
      <c r="A186" s="3" t="s">
        <v>50</v>
      </c>
      <c r="B186" s="10" t="s">
        <v>85</v>
      </c>
      <c r="C186" s="61">
        <v>1903534.99632</v>
      </c>
      <c r="D186" s="62">
        <v>1942946.7372</v>
      </c>
      <c r="E186" s="62">
        <v>1867612.14</v>
      </c>
      <c r="F186" s="62">
        <v>1936850.6987999997</v>
      </c>
      <c r="G186" s="62">
        <v>1951512.804</v>
      </c>
      <c r="H186" s="62">
        <v>2167098.5736</v>
      </c>
      <c r="I186" s="62">
        <v>2221538.32584</v>
      </c>
      <c r="J186" s="62">
        <v>1995045.4662000001</v>
      </c>
      <c r="K186" s="62">
        <v>2187545.256</v>
      </c>
      <c r="L186" s="62">
        <v>1999813.0176000001</v>
      </c>
      <c r="M186" s="62">
        <v>2049159.6935999999</v>
      </c>
      <c r="N186" s="63">
        <v>1985228.9136</v>
      </c>
      <c r="O186" s="162">
        <f t="shared" si="25"/>
        <v>24207886.622759998</v>
      </c>
      <c r="P186" s="3"/>
    </row>
    <row r="187" spans="1:16" ht="11.25">
      <c r="A187" s="3" t="s">
        <v>52</v>
      </c>
      <c r="C187" s="277">
        <v>2607971.2356013483</v>
      </c>
      <c r="D187" s="264">
        <v>5489299.658279925</v>
      </c>
      <c r="E187" s="62">
        <v>4758065.719518287</v>
      </c>
      <c r="F187" s="62">
        <v>5028588.172303975</v>
      </c>
      <c r="G187" s="62">
        <v>4986402.575705165</v>
      </c>
      <c r="H187" s="62">
        <v>5590089.849649864</v>
      </c>
      <c r="I187" s="62">
        <v>4632449.260551759</v>
      </c>
      <c r="J187" s="62">
        <v>3478513.8429314094</v>
      </c>
      <c r="K187" s="62">
        <v>1479090.6773977801</v>
      </c>
      <c r="L187" s="62">
        <v>1000406.7093957141</v>
      </c>
      <c r="M187" s="62">
        <v>1000406.7093957141</v>
      </c>
      <c r="N187" s="63">
        <v>1042788.2391303498</v>
      </c>
      <c r="O187" s="162">
        <f t="shared" si="25"/>
        <v>41094072.64986128</v>
      </c>
      <c r="P187" s="3">
        <f>O187-'Base Forecast'!O187</f>
        <v>2818.4022499918938</v>
      </c>
    </row>
    <row r="188" spans="1:16" ht="11.25">
      <c r="A188" s="3" t="s">
        <v>56</v>
      </c>
      <c r="C188" s="277">
        <v>5566068.6288643805</v>
      </c>
      <c r="D188" s="264">
        <v>8905043.264037475</v>
      </c>
      <c r="E188" s="62">
        <v>7164376.437426972</v>
      </c>
      <c r="F188" s="62">
        <v>5436963.560039551</v>
      </c>
      <c r="G188" s="62">
        <v>7812314.32983296</v>
      </c>
      <c r="H188" s="62">
        <v>9314737.830968617</v>
      </c>
      <c r="I188" s="62">
        <v>8565045.431857478</v>
      </c>
      <c r="J188" s="62">
        <v>8310458.960022183</v>
      </c>
      <c r="K188" s="62">
        <v>9248499.806725444</v>
      </c>
      <c r="L188" s="62">
        <v>3854099.5986084966</v>
      </c>
      <c r="M188" s="62">
        <v>3995099.530473017</v>
      </c>
      <c r="N188" s="63">
        <v>4589994.811749381</v>
      </c>
      <c r="O188" s="162">
        <f t="shared" si="25"/>
        <v>82762702.19060597</v>
      </c>
      <c r="P188" s="3">
        <f>O188-'Base Forecast'!O188</f>
        <v>331.1975000053644</v>
      </c>
    </row>
    <row r="189" spans="1:16" ht="11.25">
      <c r="A189" s="2" t="s">
        <v>57</v>
      </c>
      <c r="B189" s="13"/>
      <c r="C189" s="88">
        <v>0</v>
      </c>
      <c r="D189" s="65">
        <v>0</v>
      </c>
      <c r="E189" s="65">
        <v>0</v>
      </c>
      <c r="F189" s="65">
        <v>673827.4055999999</v>
      </c>
      <c r="G189" s="65">
        <v>773582.8848000001</v>
      </c>
      <c r="H189" s="65">
        <v>859021.6512000001</v>
      </c>
      <c r="I189" s="65">
        <v>880601.2415999998</v>
      </c>
      <c r="J189" s="65">
        <v>818917.8456000001</v>
      </c>
      <c r="K189" s="65">
        <v>0</v>
      </c>
      <c r="L189" s="65">
        <v>0</v>
      </c>
      <c r="M189" s="65">
        <v>0</v>
      </c>
      <c r="N189" s="66">
        <v>0</v>
      </c>
      <c r="O189" s="163">
        <f t="shared" si="25"/>
        <v>4005951.0288</v>
      </c>
      <c r="P189" s="3"/>
    </row>
    <row r="190" spans="1:15" ht="11.25">
      <c r="A190" s="3" t="s">
        <v>217</v>
      </c>
      <c r="C190" s="58">
        <f aca="true" t="shared" si="26" ref="C190:N190">SUM(C183:C189)</f>
        <v>18838281.80344573</v>
      </c>
      <c r="D190" s="59">
        <f t="shared" si="26"/>
        <v>33839574.1310474</v>
      </c>
      <c r="E190" s="59">
        <f t="shared" si="26"/>
        <v>30205516.66766526</v>
      </c>
      <c r="F190" s="59">
        <f t="shared" si="26"/>
        <v>28027663.223393526</v>
      </c>
      <c r="G190" s="59">
        <f t="shared" si="26"/>
        <v>31792587.885238126</v>
      </c>
      <c r="H190" s="59">
        <f t="shared" si="26"/>
        <v>38431238.95426848</v>
      </c>
      <c r="I190" s="59">
        <f t="shared" si="26"/>
        <v>32953795.798549235</v>
      </c>
      <c r="J190" s="59">
        <f t="shared" si="26"/>
        <v>22571978.226213597</v>
      </c>
      <c r="K190" s="59">
        <f t="shared" si="26"/>
        <v>20969158.774563223</v>
      </c>
      <c r="L190" s="59">
        <f t="shared" si="26"/>
        <v>13914470.373364214</v>
      </c>
      <c r="M190" s="59">
        <f t="shared" si="26"/>
        <v>14272499.41546873</v>
      </c>
      <c r="N190" s="60">
        <f t="shared" si="26"/>
        <v>15311103.95786973</v>
      </c>
      <c r="O190" s="80">
        <f>SUM(O183:O189)</f>
        <v>301127869.2110872</v>
      </c>
    </row>
    <row r="191" spans="3:15" ht="11.25"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80"/>
    </row>
    <row r="192" spans="1:15" ht="11.25">
      <c r="A192" s="3" t="s">
        <v>218</v>
      </c>
      <c r="C192" s="61">
        <v>-62155</v>
      </c>
      <c r="D192" s="62">
        <v>-61783</v>
      </c>
      <c r="E192" s="62">
        <v>-59910</v>
      </c>
      <c r="F192" s="62">
        <v>-64945</v>
      </c>
      <c r="G192" s="62">
        <v>59070</v>
      </c>
      <c r="H192" s="62">
        <v>63984</v>
      </c>
      <c r="I192" s="62">
        <v>-3100</v>
      </c>
      <c r="J192" s="62">
        <v>-2900</v>
      </c>
      <c r="K192" s="62">
        <v>-3100</v>
      </c>
      <c r="L192" s="62">
        <v>0</v>
      </c>
      <c r="M192" s="62">
        <v>0</v>
      </c>
      <c r="N192" s="63">
        <v>0</v>
      </c>
      <c r="O192" s="162">
        <f>SUM(C192:N192)</f>
        <v>-134839</v>
      </c>
    </row>
    <row r="193" spans="1:15" ht="11.25">
      <c r="A193" s="3" t="s">
        <v>93</v>
      </c>
      <c r="C193" s="61">
        <v>15351262</v>
      </c>
      <c r="D193" s="62">
        <v>16752493</v>
      </c>
      <c r="E193" s="62">
        <v>15800040</v>
      </c>
      <c r="F193" s="62">
        <v>13093299.5</v>
      </c>
      <c r="G193" s="62">
        <v>13746675</v>
      </c>
      <c r="H193" s="62">
        <v>14549927</v>
      </c>
      <c r="I193" s="62">
        <v>10777553</v>
      </c>
      <c r="J193" s="62">
        <v>10020109</v>
      </c>
      <c r="K193" s="62">
        <v>8855305</v>
      </c>
      <c r="L193" s="62">
        <v>9873052.5</v>
      </c>
      <c r="M193" s="62">
        <v>13519867</v>
      </c>
      <c r="N193" s="63">
        <v>13615605</v>
      </c>
      <c r="O193" s="162">
        <f>SUM(C193:N193)</f>
        <v>155955188</v>
      </c>
    </row>
    <row r="194" spans="1:15" ht="11.25">
      <c r="A194" s="3" t="s">
        <v>219</v>
      </c>
      <c r="C194" s="61">
        <v>53005.98</v>
      </c>
      <c r="D194" s="62">
        <v>53005.98</v>
      </c>
      <c r="E194" s="62">
        <v>53005.98</v>
      </c>
      <c r="F194" s="62">
        <v>53005.98</v>
      </c>
      <c r="G194" s="62">
        <v>-2841.7322</v>
      </c>
      <c r="H194" s="62">
        <v>-75883.89</v>
      </c>
      <c r="I194" s="62">
        <v>-102310.14</v>
      </c>
      <c r="J194" s="62">
        <v>-95904.414</v>
      </c>
      <c r="K194" s="62">
        <v>-85799.016</v>
      </c>
      <c r="L194" s="62">
        <v>53005.98</v>
      </c>
      <c r="M194" s="62">
        <v>53005.98</v>
      </c>
      <c r="N194" s="63">
        <v>53005.98</v>
      </c>
      <c r="O194" s="162">
        <f>SUM(C194:N194)</f>
        <v>8302.66780000001</v>
      </c>
    </row>
    <row r="195" spans="1:15" ht="11.25">
      <c r="A195" s="3" t="s">
        <v>94</v>
      </c>
      <c r="C195" s="61">
        <v>2248946.36</v>
      </c>
      <c r="D195" s="62">
        <v>2248946.36</v>
      </c>
      <c r="E195" s="62">
        <v>2207955.86</v>
      </c>
      <c r="F195" s="62">
        <v>2248946.36</v>
      </c>
      <c r="G195" s="62">
        <v>2175756.2800000003</v>
      </c>
      <c r="H195" s="62">
        <v>2216746.7800000003</v>
      </c>
      <c r="I195" s="62">
        <v>2216746.7800000003</v>
      </c>
      <c r="J195" s="62">
        <v>2134765.7800000003</v>
      </c>
      <c r="K195" s="62">
        <v>2216746.7800000003</v>
      </c>
      <c r="L195" s="62">
        <v>2175756.2800000003</v>
      </c>
      <c r="M195" s="62">
        <v>2216746.7800000003</v>
      </c>
      <c r="N195" s="63">
        <v>2175756.2800000003</v>
      </c>
      <c r="O195" s="162">
        <f>SUM(C195:N195)</f>
        <v>26483816.680000007</v>
      </c>
    </row>
    <row r="196" spans="3:15" ht="11.25"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80"/>
    </row>
    <row r="197" spans="1:15" ht="11.25">
      <c r="A197" s="6" t="s">
        <v>220</v>
      </c>
      <c r="B197" s="34"/>
      <c r="C197" s="67">
        <f aca="true" t="shared" si="27" ref="C197:N197">C190+SUM(C192:C195)</f>
        <v>36429341.14344573</v>
      </c>
      <c r="D197" s="68">
        <f t="shared" si="27"/>
        <v>52832236.4710474</v>
      </c>
      <c r="E197" s="68">
        <f t="shared" si="27"/>
        <v>48206608.50766526</v>
      </c>
      <c r="F197" s="68">
        <f t="shared" si="27"/>
        <v>43357970.063393526</v>
      </c>
      <c r="G197" s="68">
        <f t="shared" si="27"/>
        <v>47771247.43303813</v>
      </c>
      <c r="H197" s="68">
        <f t="shared" si="27"/>
        <v>55186012.84426848</v>
      </c>
      <c r="I197" s="68">
        <f t="shared" si="27"/>
        <v>45842685.438549235</v>
      </c>
      <c r="J197" s="68">
        <f t="shared" si="27"/>
        <v>34628048.5922136</v>
      </c>
      <c r="K197" s="68">
        <f t="shared" si="27"/>
        <v>31952311.53856322</v>
      </c>
      <c r="L197" s="68">
        <f t="shared" si="27"/>
        <v>26016285.133364215</v>
      </c>
      <c r="M197" s="68">
        <f t="shared" si="27"/>
        <v>30062119.17546873</v>
      </c>
      <c r="N197" s="69">
        <f t="shared" si="27"/>
        <v>31155471.217869733</v>
      </c>
      <c r="O197" s="81">
        <f>O190+SUM(O192:O195)</f>
        <v>483440337.55888724</v>
      </c>
    </row>
    <row r="198" spans="3:15" ht="11.25"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60"/>
      <c r="O198" s="80"/>
    </row>
    <row r="199" spans="1:15" ht="11.25">
      <c r="A199" s="3" t="s">
        <v>213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80"/>
    </row>
    <row r="200" spans="1:16" ht="11.25">
      <c r="A200" s="3" t="s">
        <v>60</v>
      </c>
      <c r="C200" s="61">
        <v>306096.54768</v>
      </c>
      <c r="D200" s="62">
        <v>305955.47472</v>
      </c>
      <c r="E200" s="62">
        <v>305655.8688</v>
      </c>
      <c r="F200" s="62">
        <v>325844.68416</v>
      </c>
      <c r="G200" s="62">
        <v>324759.35856</v>
      </c>
      <c r="H200" s="62">
        <v>335641.40376</v>
      </c>
      <c r="I200" s="62">
        <v>335641.40376</v>
      </c>
      <c r="J200" s="62">
        <v>313954.67688</v>
      </c>
      <c r="K200" s="62">
        <v>335641.40376</v>
      </c>
      <c r="L200" s="62">
        <v>168165.79056</v>
      </c>
      <c r="M200" s="62">
        <v>315824.9808</v>
      </c>
      <c r="N200" s="63">
        <v>296174.68272</v>
      </c>
      <c r="O200" s="162">
        <f>SUM(C200:N200)</f>
        <v>3669356.2761600004</v>
      </c>
      <c r="P200" s="85"/>
    </row>
    <row r="201" spans="1:16" ht="11.25">
      <c r="A201" s="2" t="s">
        <v>87</v>
      </c>
      <c r="C201" s="64">
        <v>260040.52115123035</v>
      </c>
      <c r="D201" s="65">
        <v>260353.62973962713</v>
      </c>
      <c r="E201" s="65">
        <v>273734.621364744</v>
      </c>
      <c r="F201" s="65">
        <v>326812.249262088</v>
      </c>
      <c r="G201" s="65">
        <v>385351.5655572479</v>
      </c>
      <c r="H201" s="65">
        <v>415489.4347215744</v>
      </c>
      <c r="I201" s="65">
        <v>426636.2584322299</v>
      </c>
      <c r="J201" s="65">
        <v>350486.44199498993</v>
      </c>
      <c r="K201" s="65">
        <v>388453.405210696</v>
      </c>
      <c r="L201" s="65">
        <v>318217.01673770393</v>
      </c>
      <c r="M201" s="65">
        <v>305701.921274498</v>
      </c>
      <c r="N201" s="66">
        <v>280084.598317538</v>
      </c>
      <c r="O201" s="162">
        <f>SUM(C201:N201)</f>
        <v>3991361.663764167</v>
      </c>
      <c r="P201" s="85"/>
    </row>
    <row r="202" spans="1:15" ht="11.25">
      <c r="A202" s="6" t="s">
        <v>221</v>
      </c>
      <c r="B202" s="34"/>
      <c r="C202" s="67">
        <f aca="true" t="shared" si="28" ref="C202:N202">SUM(C200:C201)</f>
        <v>566137.0688312304</v>
      </c>
      <c r="D202" s="68">
        <f t="shared" si="28"/>
        <v>566309.1044596271</v>
      </c>
      <c r="E202" s="68">
        <f t="shared" si="28"/>
        <v>579390.490164744</v>
      </c>
      <c r="F202" s="68">
        <f t="shared" si="28"/>
        <v>652656.9334220879</v>
      </c>
      <c r="G202" s="68">
        <f t="shared" si="28"/>
        <v>710110.9241172479</v>
      </c>
      <c r="H202" s="68">
        <f t="shared" si="28"/>
        <v>751130.8384815744</v>
      </c>
      <c r="I202" s="68">
        <f t="shared" si="28"/>
        <v>762277.6621922299</v>
      </c>
      <c r="J202" s="68">
        <f t="shared" si="28"/>
        <v>664441.1188749899</v>
      </c>
      <c r="K202" s="68">
        <f t="shared" si="28"/>
        <v>724094.8089706961</v>
      </c>
      <c r="L202" s="68">
        <f t="shared" si="28"/>
        <v>486382.8072977039</v>
      </c>
      <c r="M202" s="68">
        <f t="shared" si="28"/>
        <v>621526.902074498</v>
      </c>
      <c r="N202" s="69">
        <f t="shared" si="28"/>
        <v>576259.281037538</v>
      </c>
      <c r="O202" s="81">
        <f>SUM(O200:O201)</f>
        <v>7660717.9399241675</v>
      </c>
    </row>
    <row r="203" spans="1:15" ht="12" thickBot="1">
      <c r="A203" s="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82"/>
    </row>
    <row r="204" spans="1:15" ht="12.75" thickBot="1" thickTop="1">
      <c r="A204" s="8" t="s">
        <v>9</v>
      </c>
      <c r="B204" s="36"/>
      <c r="C204" s="73">
        <f aca="true" t="shared" si="29" ref="C204:N204">-C41+C159+C165+C180+C197+C202</f>
        <v>142372751.80720457</v>
      </c>
      <c r="D204" s="74">
        <f t="shared" si="29"/>
        <v>151489167.70780736</v>
      </c>
      <c r="E204" s="74">
        <f t="shared" si="29"/>
        <v>126184995.9876844</v>
      </c>
      <c r="F204" s="74">
        <f t="shared" si="29"/>
        <v>114016576.60056639</v>
      </c>
      <c r="G204" s="74">
        <f t="shared" si="29"/>
        <v>113851507.2232151</v>
      </c>
      <c r="H204" s="74">
        <f t="shared" si="29"/>
        <v>124881814.91556278</v>
      </c>
      <c r="I204" s="74">
        <f t="shared" si="29"/>
        <v>128942812.02592227</v>
      </c>
      <c r="J204" s="74">
        <f t="shared" si="29"/>
        <v>118627510.31842571</v>
      </c>
      <c r="K204" s="74">
        <f t="shared" si="29"/>
        <v>121455888.23298869</v>
      </c>
      <c r="L204" s="74">
        <f t="shared" si="29"/>
        <v>120311084.79532252</v>
      </c>
      <c r="M204" s="74">
        <f t="shared" si="29"/>
        <v>125880767.09500085</v>
      </c>
      <c r="N204" s="75">
        <f t="shared" si="29"/>
        <v>122703054.9313994</v>
      </c>
      <c r="O204" s="83">
        <f>-O41+O159+O165+O180+O197+O202</f>
        <v>1510717931.6411002</v>
      </c>
    </row>
    <row r="205" spans="1:15" ht="12" thickTop="1">
      <c r="A205" s="49" t="s">
        <v>351</v>
      </c>
      <c r="C205" s="90">
        <v>142372751.8072046</v>
      </c>
      <c r="D205" s="91">
        <v>151489167.70780736</v>
      </c>
      <c r="E205" s="91">
        <v>126184995.98768441</v>
      </c>
      <c r="F205" s="91">
        <v>114016576.60056639</v>
      </c>
      <c r="G205" s="91">
        <v>113851507.2232151</v>
      </c>
      <c r="H205" s="91">
        <v>124881814.91556278</v>
      </c>
      <c r="I205" s="91">
        <v>128942812.02592225</v>
      </c>
      <c r="J205" s="91">
        <v>118627510.3184257</v>
      </c>
      <c r="K205" s="91">
        <v>121455888.2329887</v>
      </c>
      <c r="L205" s="91">
        <v>120311084.79532251</v>
      </c>
      <c r="M205" s="91">
        <v>125880767.09500086</v>
      </c>
      <c r="N205" s="91">
        <v>122703054.9313994</v>
      </c>
      <c r="O205" s="91">
        <v>1510717931.6411</v>
      </c>
    </row>
    <row r="206" spans="1:15" ht="11.25">
      <c r="A206" s="49" t="s">
        <v>309</v>
      </c>
      <c r="C206" s="90">
        <f>C204-C205</f>
        <v>0</v>
      </c>
      <c r="D206" s="91">
        <f aca="true" t="shared" si="30" ref="D206:O206">D204-D205</f>
        <v>0</v>
      </c>
      <c r="E206" s="91">
        <f t="shared" si="30"/>
        <v>0</v>
      </c>
      <c r="F206" s="91">
        <f t="shared" si="30"/>
        <v>0</v>
      </c>
      <c r="G206" s="91">
        <f t="shared" si="30"/>
        <v>0</v>
      </c>
      <c r="H206" s="91">
        <f t="shared" si="30"/>
        <v>0</v>
      </c>
      <c r="I206" s="91">
        <f t="shared" si="30"/>
        <v>0</v>
      </c>
      <c r="J206" s="91">
        <f t="shared" si="30"/>
        <v>0</v>
      </c>
      <c r="K206" s="91">
        <f t="shared" si="30"/>
        <v>0</v>
      </c>
      <c r="L206" s="91">
        <f t="shared" si="30"/>
        <v>0</v>
      </c>
      <c r="M206" s="91">
        <f t="shared" si="30"/>
        <v>0</v>
      </c>
      <c r="N206" s="91">
        <f t="shared" si="30"/>
        <v>0</v>
      </c>
      <c r="O206" s="91">
        <f t="shared" si="30"/>
        <v>0</v>
      </c>
    </row>
    <row r="207" spans="3:16" ht="11.25"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3"/>
      <c r="O207" s="3"/>
      <c r="P207" s="3"/>
    </row>
    <row r="208" spans="1:17" ht="11.25">
      <c r="A208" s="222"/>
      <c r="B208" s="29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Q208" s="1"/>
    </row>
    <row r="209" spans="1:16" ht="11.25">
      <c r="A209" s="232" t="s">
        <v>326</v>
      </c>
      <c r="D209" s="231" t="s">
        <v>326</v>
      </c>
      <c r="E209" s="59"/>
      <c r="G209" s="231" t="s">
        <v>326</v>
      </c>
      <c r="H209" s="59"/>
      <c r="K209" s="231" t="s">
        <v>326</v>
      </c>
      <c r="N209" s="231" t="s">
        <v>326</v>
      </c>
      <c r="O209" s="3"/>
      <c r="P209" s="3"/>
    </row>
    <row r="210" ht="11.25">
      <c r="I210" s="239"/>
    </row>
    <row r="211" spans="3:16" ht="11.25"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3"/>
      <c r="O211" s="3"/>
      <c r="P211" s="3"/>
    </row>
    <row r="212" spans="1:19" ht="11.25">
      <c r="A212" s="41" t="s">
        <v>353</v>
      </c>
      <c r="B212" s="4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4"/>
      <c r="P212" s="84"/>
      <c r="Q212" s="40"/>
      <c r="R212" s="40"/>
      <c r="S212" s="40"/>
    </row>
    <row r="214" ht="11.25">
      <c r="A214" s="5" t="s">
        <v>301</v>
      </c>
    </row>
    <row r="215" spans="1:15" ht="11.25">
      <c r="A215" s="95" t="s">
        <v>28</v>
      </c>
      <c r="B215" s="30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92"/>
    </row>
    <row r="216" spans="1:15" ht="11.25">
      <c r="A216" s="94" t="s">
        <v>236</v>
      </c>
      <c r="B216" s="2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171">
        <v>0.3</v>
      </c>
    </row>
    <row r="217" spans="1:15" ht="11.25">
      <c r="A217" s="94" t="s">
        <v>237</v>
      </c>
      <c r="B217" s="2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172">
        <f>1-O216</f>
        <v>0.7</v>
      </c>
    </row>
    <row r="218" spans="1:15" ht="11.25">
      <c r="A218" s="96" t="s">
        <v>29</v>
      </c>
      <c r="B218" s="2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93"/>
    </row>
    <row r="219" spans="1:15" ht="11.25">
      <c r="A219" s="94" t="s">
        <v>236</v>
      </c>
      <c r="B219" s="2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170">
        <v>0.2073628</v>
      </c>
    </row>
    <row r="220" spans="1:15" ht="11.25">
      <c r="A220" s="94" t="s">
        <v>237</v>
      </c>
      <c r="B220" s="2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69">
        <f>1-O219</f>
        <v>0.7926371999999999</v>
      </c>
    </row>
    <row r="221" spans="1:15" ht="11.25">
      <c r="A221" s="96" t="s">
        <v>91</v>
      </c>
      <c r="B221" s="2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93"/>
    </row>
    <row r="222" spans="1:15" ht="11.25">
      <c r="A222" s="94" t="s">
        <v>236</v>
      </c>
      <c r="B222" s="2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170">
        <v>0.1702955</v>
      </c>
    </row>
    <row r="223" spans="1:15" ht="11.25">
      <c r="A223" s="94" t="s">
        <v>237</v>
      </c>
      <c r="B223" s="2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169">
        <f>1-O222</f>
        <v>0.8297045000000001</v>
      </c>
    </row>
    <row r="224" spans="1:15" ht="11.25">
      <c r="A224" s="96" t="s">
        <v>92</v>
      </c>
      <c r="B224" s="2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93"/>
    </row>
    <row r="225" spans="1:15" ht="11.25">
      <c r="A225" s="94" t="s">
        <v>236</v>
      </c>
      <c r="B225" s="2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171">
        <v>0.7</v>
      </c>
    </row>
    <row r="226" spans="1:15" ht="11.25">
      <c r="A226" s="94" t="s">
        <v>237</v>
      </c>
      <c r="B226" s="2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172">
        <f>1-O225</f>
        <v>0.30000000000000004</v>
      </c>
    </row>
    <row r="227" spans="1:15" ht="11.25">
      <c r="A227" s="96" t="s">
        <v>91</v>
      </c>
      <c r="B227" s="2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93"/>
    </row>
    <row r="228" spans="1:15" ht="11.25">
      <c r="A228" s="94" t="s">
        <v>238</v>
      </c>
      <c r="B228" s="2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74">
        <v>0.4622503253652875</v>
      </c>
    </row>
    <row r="229" spans="1:15" ht="11.25">
      <c r="A229" s="94" t="s">
        <v>239</v>
      </c>
      <c r="B229" s="2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169">
        <f>1-O228</f>
        <v>0.5377496746347126</v>
      </c>
    </row>
    <row r="230" spans="1:15" ht="11.25">
      <c r="A230" s="96" t="s">
        <v>92</v>
      </c>
      <c r="B230" s="2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93"/>
    </row>
    <row r="231" spans="1:15" ht="11.25">
      <c r="A231" s="94" t="s">
        <v>238</v>
      </c>
      <c r="B231" s="2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74">
        <v>0.6691650475559511</v>
      </c>
    </row>
    <row r="232" spans="1:15" ht="11.25">
      <c r="A232" s="26" t="s">
        <v>239</v>
      </c>
      <c r="B232" s="13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173">
        <f>1-O231</f>
        <v>0.3308349524440489</v>
      </c>
    </row>
    <row r="235" ht="11.25">
      <c r="A235" s="5" t="s">
        <v>354</v>
      </c>
    </row>
    <row r="236" spans="1:15" ht="11.25">
      <c r="A236" s="15" t="s">
        <v>302</v>
      </c>
      <c r="B236" s="2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16"/>
    </row>
    <row r="237" spans="1:15" ht="11.25">
      <c r="A237" s="17" t="s">
        <v>229</v>
      </c>
      <c r="B237" s="24"/>
      <c r="C237" s="62">
        <v>50000</v>
      </c>
      <c r="D237" s="62">
        <v>50000</v>
      </c>
      <c r="E237" s="62">
        <v>50000</v>
      </c>
      <c r="F237" s="62">
        <v>50000</v>
      </c>
      <c r="G237" s="62">
        <v>50000</v>
      </c>
      <c r="H237" s="62">
        <v>50000</v>
      </c>
      <c r="I237" s="62">
        <v>50000</v>
      </c>
      <c r="J237" s="62">
        <v>50000</v>
      </c>
      <c r="K237" s="62">
        <v>50000</v>
      </c>
      <c r="L237" s="62">
        <v>50000</v>
      </c>
      <c r="M237" s="62">
        <v>50000</v>
      </c>
      <c r="N237" s="62">
        <v>50000</v>
      </c>
      <c r="O237" s="37">
        <f>SUM(C237:N237)</f>
        <v>600000</v>
      </c>
    </row>
    <row r="238" spans="1:15" ht="11.25">
      <c r="A238" s="17" t="s">
        <v>228</v>
      </c>
      <c r="B238" s="25"/>
      <c r="C238" s="59">
        <f aca="true" t="shared" si="31" ref="C238:O238">C124-C237</f>
        <v>35749.46000000001</v>
      </c>
      <c r="D238" s="129">
        <f t="shared" si="31"/>
        <v>40604.240000000005</v>
      </c>
      <c r="E238" s="129">
        <f t="shared" si="31"/>
        <v>153992.95</v>
      </c>
      <c r="F238" s="129">
        <f t="shared" si="31"/>
        <v>47825.020000000004</v>
      </c>
      <c r="G238" s="129">
        <f t="shared" si="31"/>
        <v>91622.70000000001</v>
      </c>
      <c r="H238" s="129">
        <f t="shared" si="31"/>
        <v>167533.72</v>
      </c>
      <c r="I238" s="129">
        <f t="shared" si="31"/>
        <v>85555.47</v>
      </c>
      <c r="J238" s="129">
        <f t="shared" si="31"/>
        <v>48383.34</v>
      </c>
      <c r="K238" s="129">
        <f t="shared" si="31"/>
        <v>50329</v>
      </c>
      <c r="L238" s="129">
        <f t="shared" si="31"/>
        <v>21369.089999999997</v>
      </c>
      <c r="M238" s="129">
        <f t="shared" si="31"/>
        <v>41910.17999999999</v>
      </c>
      <c r="N238" s="129">
        <f t="shared" si="31"/>
        <v>91716.14000000001</v>
      </c>
      <c r="O238" s="168">
        <f t="shared" si="31"/>
        <v>876591.31</v>
      </c>
    </row>
    <row r="239" spans="1:15" ht="11.25">
      <c r="A239" s="18" t="s">
        <v>296</v>
      </c>
      <c r="B239" s="2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37"/>
    </row>
    <row r="240" spans="1:15" ht="11.25">
      <c r="A240" s="17" t="s">
        <v>229</v>
      </c>
      <c r="B240" s="24"/>
      <c r="C240" s="97">
        <f aca="true" t="shared" si="32" ref="C240:N240">$O$216*(C51+SUM(C111:C116))</f>
        <v>463642.866</v>
      </c>
      <c r="D240" s="97">
        <f t="shared" si="32"/>
        <v>386048.187</v>
      </c>
      <c r="E240" s="97">
        <f t="shared" si="32"/>
        <v>363210.5657999999</v>
      </c>
      <c r="F240" s="97">
        <f t="shared" si="32"/>
        <v>52362.45779999998</v>
      </c>
      <c r="G240" s="97">
        <f t="shared" si="32"/>
        <v>-56788.06649999999</v>
      </c>
      <c r="H240" s="97">
        <f t="shared" si="32"/>
        <v>-59310.11609999999</v>
      </c>
      <c r="I240" s="97">
        <f t="shared" si="32"/>
        <v>-40042.457399999985</v>
      </c>
      <c r="J240" s="97">
        <f t="shared" si="32"/>
        <v>-45144.94199999999</v>
      </c>
      <c r="K240" s="97">
        <f t="shared" si="32"/>
        <v>-28076.939999999984</v>
      </c>
      <c r="L240" s="97">
        <f t="shared" si="32"/>
        <v>-8857.667999999981</v>
      </c>
      <c r="M240" s="97">
        <f t="shared" si="32"/>
        <v>22244.220000000005</v>
      </c>
      <c r="N240" s="97">
        <f t="shared" si="32"/>
        <v>32034.85800000001</v>
      </c>
      <c r="O240" s="37">
        <f>$O$216*(O51+SUM(O111:O116))</f>
        <v>1081322.9645999994</v>
      </c>
    </row>
    <row r="241" spans="1:15" ht="11.25">
      <c r="A241" s="17" t="s">
        <v>228</v>
      </c>
      <c r="B241" s="25"/>
      <c r="C241" s="97">
        <f aca="true" t="shared" si="33" ref="C241:N241">$O$217*(C51+SUM(C111:C116))</f>
        <v>1081833.3539999998</v>
      </c>
      <c r="D241" s="97">
        <f t="shared" si="33"/>
        <v>900779.103</v>
      </c>
      <c r="E241" s="97">
        <f t="shared" si="33"/>
        <v>847491.3201999997</v>
      </c>
      <c r="F241" s="97">
        <f t="shared" si="33"/>
        <v>122179.06819999997</v>
      </c>
      <c r="G241" s="97">
        <f t="shared" si="33"/>
        <v>-132505.48849999998</v>
      </c>
      <c r="H241" s="97">
        <f t="shared" si="33"/>
        <v>-138390.27089999997</v>
      </c>
      <c r="I241" s="97">
        <f t="shared" si="33"/>
        <v>-93432.40059999996</v>
      </c>
      <c r="J241" s="97">
        <f t="shared" si="33"/>
        <v>-105338.19799999996</v>
      </c>
      <c r="K241" s="97">
        <f t="shared" si="33"/>
        <v>-65512.85999999996</v>
      </c>
      <c r="L241" s="97">
        <f t="shared" si="33"/>
        <v>-20667.891999999956</v>
      </c>
      <c r="M241" s="97">
        <f t="shared" si="33"/>
        <v>51903.180000000015</v>
      </c>
      <c r="N241" s="97">
        <f t="shared" si="33"/>
        <v>74748.00200000002</v>
      </c>
      <c r="O241" s="37">
        <f>$O$217*(O51+SUM(O111:O116))</f>
        <v>2523086.9173999988</v>
      </c>
    </row>
    <row r="242" spans="1:15" ht="11.25">
      <c r="A242" s="18" t="s">
        <v>297</v>
      </c>
      <c r="B242" s="2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37"/>
    </row>
    <row r="243" spans="1:15" ht="11.25">
      <c r="A243" s="17" t="s">
        <v>229</v>
      </c>
      <c r="B243" s="24"/>
      <c r="C243" s="59">
        <f aca="true" t="shared" si="34" ref="C243:N243">$O$219*(C54+C66)</f>
        <v>151892.40081252</v>
      </c>
      <c r="D243" s="59">
        <f t="shared" si="34"/>
        <v>157957.69220916802</v>
      </c>
      <c r="E243" s="59">
        <f t="shared" si="34"/>
        <v>120459.10341172002</v>
      </c>
      <c r="F243" s="59">
        <f t="shared" si="34"/>
        <v>104856.085378464</v>
      </c>
      <c r="G243" s="59">
        <f t="shared" si="34"/>
        <v>91140.234715448</v>
      </c>
      <c r="H243" s="59">
        <f t="shared" si="34"/>
        <v>112364.3025244</v>
      </c>
      <c r="I243" s="59">
        <f t="shared" si="34"/>
        <v>111149.214577984</v>
      </c>
      <c r="J243" s="59">
        <f t="shared" si="34"/>
        <v>94136.8013602</v>
      </c>
      <c r="K243" s="59">
        <f t="shared" si="34"/>
        <v>102298.808531</v>
      </c>
      <c r="L243" s="59">
        <f t="shared" si="34"/>
        <v>113597.69645880001</v>
      </c>
      <c r="M243" s="59">
        <f t="shared" si="34"/>
        <v>127688.20608160002</v>
      </c>
      <c r="N243" s="59">
        <f t="shared" si="34"/>
        <v>136132.51696832</v>
      </c>
      <c r="O243" s="37">
        <f>$O$219*(O54+O66)</f>
        <v>1423673.063029624</v>
      </c>
    </row>
    <row r="244" spans="1:15" ht="11.25">
      <c r="A244" s="17" t="s">
        <v>228</v>
      </c>
      <c r="B244" s="25"/>
      <c r="C244" s="59">
        <f aca="true" t="shared" si="35" ref="C244:N244">$O$220*(C54+C66)</f>
        <v>580603.49918748</v>
      </c>
      <c r="D244" s="59">
        <f t="shared" si="35"/>
        <v>603787.867790832</v>
      </c>
      <c r="E244" s="59">
        <f t="shared" si="35"/>
        <v>460450.79658828</v>
      </c>
      <c r="F244" s="59">
        <f t="shared" si="35"/>
        <v>400808.794621536</v>
      </c>
      <c r="G244" s="59">
        <f t="shared" si="35"/>
        <v>348380.4252845519</v>
      </c>
      <c r="H244" s="59">
        <f t="shared" si="35"/>
        <v>429508.69747559994</v>
      </c>
      <c r="I244" s="59">
        <f t="shared" si="35"/>
        <v>424864.06542201596</v>
      </c>
      <c r="J244" s="59">
        <f t="shared" si="35"/>
        <v>359834.69863979996</v>
      </c>
      <c r="K244" s="59">
        <f t="shared" si="35"/>
        <v>391033.69146899995</v>
      </c>
      <c r="L244" s="59">
        <f t="shared" si="35"/>
        <v>434223.30354119994</v>
      </c>
      <c r="M244" s="59">
        <f t="shared" si="35"/>
        <v>488083.79391839996</v>
      </c>
      <c r="N244" s="59">
        <f t="shared" si="35"/>
        <v>520361.88303167996</v>
      </c>
      <c r="O244" s="37">
        <f>$O$220*(O54+O66)</f>
        <v>5441941.516970376</v>
      </c>
    </row>
    <row r="245" spans="1:15" ht="11.25">
      <c r="A245" s="18" t="s">
        <v>298</v>
      </c>
      <c r="B245" s="2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37"/>
    </row>
    <row r="246" spans="1:15" ht="11.25">
      <c r="A246" s="17" t="s">
        <v>229</v>
      </c>
      <c r="B246" s="24"/>
      <c r="C246" s="59">
        <f aca="true" t="shared" si="36" ref="C246:N246">$O$228*$O$222*(C82+C84+C86)</f>
        <v>152105.27414548304</v>
      </c>
      <c r="D246" s="59">
        <f t="shared" si="36"/>
        <v>137396.06090168786</v>
      </c>
      <c r="E246" s="59">
        <f t="shared" si="36"/>
        <v>135313.45682830483</v>
      </c>
      <c r="F246" s="59">
        <f t="shared" si="36"/>
        <v>121903.77552819462</v>
      </c>
      <c r="G246" s="59">
        <f t="shared" si="36"/>
        <v>124008.75866881169</v>
      </c>
      <c r="H246" s="59">
        <f t="shared" si="36"/>
        <v>153621.59469309048</v>
      </c>
      <c r="I246" s="59">
        <f t="shared" si="36"/>
        <v>189007.78293897375</v>
      </c>
      <c r="J246" s="59">
        <f t="shared" si="36"/>
        <v>192611.28586574475</v>
      </c>
      <c r="K246" s="59">
        <f t="shared" si="36"/>
        <v>216089.1425511244</v>
      </c>
      <c r="L246" s="59">
        <f t="shared" si="36"/>
        <v>235853.6468842788</v>
      </c>
      <c r="M246" s="59">
        <f t="shared" si="36"/>
        <v>239214.2492777868</v>
      </c>
      <c r="N246" s="59">
        <f t="shared" si="36"/>
        <v>203397.87898101012</v>
      </c>
      <c r="O246" s="37">
        <f>$O$228*$O$222*(O82+O84+O86)</f>
        <v>2100522.907264491</v>
      </c>
    </row>
    <row r="247" spans="1:15" ht="11.25">
      <c r="A247" s="17" t="s">
        <v>228</v>
      </c>
      <c r="B247" s="25"/>
      <c r="C247" s="59">
        <f aca="true" t="shared" si="37" ref="C247:N247">$O$228*$O$223*(C82+C84+C86)</f>
        <v>741079.068044904</v>
      </c>
      <c r="D247" s="59">
        <f t="shared" si="37"/>
        <v>669413.6369569631</v>
      </c>
      <c r="E247" s="59">
        <f t="shared" si="37"/>
        <v>659266.8863299398</v>
      </c>
      <c r="F247" s="59">
        <f t="shared" si="37"/>
        <v>593932.964304594</v>
      </c>
      <c r="G247" s="59">
        <f t="shared" si="37"/>
        <v>604188.7490093813</v>
      </c>
      <c r="H247" s="59">
        <f t="shared" si="37"/>
        <v>748466.802787116</v>
      </c>
      <c r="I247" s="59">
        <f t="shared" si="37"/>
        <v>920873.4701709074</v>
      </c>
      <c r="J247" s="59">
        <f t="shared" si="37"/>
        <v>938430.2617132857</v>
      </c>
      <c r="K247" s="59">
        <f t="shared" si="37"/>
        <v>1052817.8018550663</v>
      </c>
      <c r="L247" s="59">
        <f t="shared" si="37"/>
        <v>1149113.3480408886</v>
      </c>
      <c r="M247" s="59">
        <f t="shared" si="37"/>
        <v>1165486.6927775631</v>
      </c>
      <c r="N247" s="59">
        <f t="shared" si="37"/>
        <v>990984.1157341184</v>
      </c>
      <c r="O247" s="37">
        <f>$O$228*$O$223*(O82+O84+O86)</f>
        <v>10234053.797724726</v>
      </c>
    </row>
    <row r="248" spans="1:15" ht="11.25">
      <c r="A248" s="17" t="s">
        <v>62</v>
      </c>
      <c r="B248" s="25"/>
      <c r="C248" s="59">
        <f aca="true" t="shared" si="38" ref="C248:N248">$O$229*(C82+C84+C86)</f>
        <v>1039068.1478096134</v>
      </c>
      <c r="D248" s="59">
        <f t="shared" si="38"/>
        <v>938585.9321413491</v>
      </c>
      <c r="E248" s="59">
        <f t="shared" si="38"/>
        <v>924359.1568417555</v>
      </c>
      <c r="F248" s="59">
        <f t="shared" si="38"/>
        <v>832754.3601672117</v>
      </c>
      <c r="G248" s="59">
        <f t="shared" si="38"/>
        <v>847134.0123218072</v>
      </c>
      <c r="H248" s="59">
        <f t="shared" si="38"/>
        <v>1049426.5025197936</v>
      </c>
      <c r="I248" s="59">
        <f t="shared" si="38"/>
        <v>1291158.166890119</v>
      </c>
      <c r="J248" s="59">
        <f t="shared" si="38"/>
        <v>1315774.5724209698</v>
      </c>
      <c r="K248" s="59">
        <f t="shared" si="38"/>
        <v>1476157.5255938098</v>
      </c>
      <c r="L248" s="59">
        <f t="shared" si="38"/>
        <v>1611173.665074833</v>
      </c>
      <c r="M248" s="59">
        <f t="shared" si="38"/>
        <v>1634130.7579446505</v>
      </c>
      <c r="N248" s="59">
        <f t="shared" si="38"/>
        <v>1389460.4152848714</v>
      </c>
      <c r="O248" s="37">
        <f>$O$229*(O82+O84+O86)</f>
        <v>14349183.215010783</v>
      </c>
    </row>
    <row r="249" spans="1:15" ht="11.25">
      <c r="A249" s="18" t="s">
        <v>299</v>
      </c>
      <c r="B249" s="2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37"/>
    </row>
    <row r="250" spans="1:15" ht="11.25">
      <c r="A250" s="17" t="s">
        <v>229</v>
      </c>
      <c r="B250" s="24"/>
      <c r="C250" s="59">
        <f aca="true" t="shared" si="39" ref="C250:N250">$O$222*C88</f>
        <v>342483.47686194995</v>
      </c>
      <c r="D250" s="59">
        <f t="shared" si="39"/>
        <v>384299.383621</v>
      </c>
      <c r="E250" s="59">
        <f t="shared" si="39"/>
        <v>373367.434294</v>
      </c>
      <c r="F250" s="59">
        <f t="shared" si="39"/>
        <v>384299.383621</v>
      </c>
      <c r="G250" s="59">
        <f t="shared" si="39"/>
        <v>373367.434294</v>
      </c>
      <c r="H250" s="59">
        <f t="shared" si="39"/>
        <v>384299.383621</v>
      </c>
      <c r="I250" s="59">
        <f t="shared" si="39"/>
        <v>0</v>
      </c>
      <c r="J250" s="59">
        <f t="shared" si="39"/>
        <v>0</v>
      </c>
      <c r="K250" s="59">
        <f t="shared" si="39"/>
        <v>0</v>
      </c>
      <c r="L250" s="59">
        <f t="shared" si="39"/>
        <v>0</v>
      </c>
      <c r="M250" s="59">
        <f t="shared" si="39"/>
        <v>0</v>
      </c>
      <c r="N250" s="59">
        <f t="shared" si="39"/>
        <v>0</v>
      </c>
      <c r="O250" s="37">
        <f>$O$222*O88</f>
        <v>2242116.49631295</v>
      </c>
    </row>
    <row r="251" spans="1:15" ht="11.25">
      <c r="A251" s="17" t="s">
        <v>228</v>
      </c>
      <c r="B251" s="25"/>
      <c r="C251" s="59">
        <f aca="true" t="shared" si="40" ref="C251:N251">$O$223*C88</f>
        <v>1668629.4231380501</v>
      </c>
      <c r="D251" s="59">
        <f t="shared" si="40"/>
        <v>1872362.6163790002</v>
      </c>
      <c r="E251" s="59">
        <f t="shared" si="40"/>
        <v>1819100.5657060002</v>
      </c>
      <c r="F251" s="59">
        <f t="shared" si="40"/>
        <v>1872362.6163790002</v>
      </c>
      <c r="G251" s="59">
        <f t="shared" si="40"/>
        <v>1819100.5657060002</v>
      </c>
      <c r="H251" s="59">
        <f t="shared" si="40"/>
        <v>1872362.6163790002</v>
      </c>
      <c r="I251" s="59">
        <f t="shared" si="40"/>
        <v>0</v>
      </c>
      <c r="J251" s="59">
        <f t="shared" si="40"/>
        <v>0</v>
      </c>
      <c r="K251" s="59">
        <f t="shared" si="40"/>
        <v>0</v>
      </c>
      <c r="L251" s="59">
        <f t="shared" si="40"/>
        <v>0</v>
      </c>
      <c r="M251" s="59">
        <f t="shared" si="40"/>
        <v>0</v>
      </c>
      <c r="N251" s="59">
        <f t="shared" si="40"/>
        <v>0</v>
      </c>
      <c r="O251" s="37">
        <f>$O$223*O88</f>
        <v>10923918.40368705</v>
      </c>
    </row>
    <row r="252" spans="1:15" ht="11.25">
      <c r="A252" s="18" t="s">
        <v>300</v>
      </c>
      <c r="B252" s="2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37"/>
    </row>
    <row r="253" spans="1:15" ht="11.25">
      <c r="A253" s="17" t="s">
        <v>230</v>
      </c>
      <c r="B253" s="24"/>
      <c r="C253" s="59">
        <f>$O$231*$O$225*(C83+C85+C87)</f>
        <v>359679.9871521919</v>
      </c>
      <c r="D253" s="193">
        <f>$O$231*$O$225*(D83+D85+D87)</f>
        <v>311045.23611042707</v>
      </c>
      <c r="E253" s="59">
        <f aca="true" t="shared" si="41" ref="E253:N253">$O$231*$O$225*(E83+E85+E87)</f>
        <v>284391.0853869357</v>
      </c>
      <c r="F253" s="59">
        <f t="shared" si="41"/>
        <v>272067.695698757</v>
      </c>
      <c r="G253" s="59">
        <f t="shared" si="41"/>
        <v>249746.7961797044</v>
      </c>
      <c r="H253" s="59">
        <f t="shared" si="41"/>
        <v>241230.48184326536</v>
      </c>
      <c r="I253" s="59">
        <f t="shared" si="41"/>
        <v>219342.4685393019</v>
      </c>
      <c r="J253" s="59">
        <f t="shared" si="41"/>
        <v>213897.18480636866</v>
      </c>
      <c r="K253" s="59">
        <f t="shared" si="41"/>
        <v>239596.15662684277</v>
      </c>
      <c r="L253" s="59">
        <f t="shared" si="41"/>
        <v>270895.0220953229</v>
      </c>
      <c r="M253" s="59">
        <f t="shared" si="41"/>
        <v>348875.6456176933</v>
      </c>
      <c r="N253" s="59">
        <f t="shared" si="41"/>
        <v>369999.1672980863</v>
      </c>
      <c r="O253" s="37">
        <f>$O$231*$O$225*(O83+O85+O87)</f>
        <v>3380766.9273548974</v>
      </c>
    </row>
    <row r="254" spans="1:15" ht="11.25">
      <c r="A254" s="17" t="s">
        <v>228</v>
      </c>
      <c r="B254" s="25"/>
      <c r="C254" s="59">
        <f aca="true" t="shared" si="42" ref="C254:N254">$O$231*$O$226*(C83+C85+C87)</f>
        <v>154148.565922368</v>
      </c>
      <c r="D254" s="59">
        <f t="shared" si="42"/>
        <v>133305.10119018305</v>
      </c>
      <c r="E254" s="59">
        <f t="shared" si="42"/>
        <v>121881.89373725819</v>
      </c>
      <c r="F254" s="59">
        <f t="shared" si="42"/>
        <v>116600.44101375304</v>
      </c>
      <c r="G254" s="59">
        <f t="shared" si="42"/>
        <v>107034.34121987333</v>
      </c>
      <c r="H254" s="59">
        <f t="shared" si="42"/>
        <v>103384.49221854232</v>
      </c>
      <c r="I254" s="59">
        <f t="shared" si="42"/>
        <v>94003.91508827226</v>
      </c>
      <c r="J254" s="59">
        <f t="shared" si="42"/>
        <v>91670.2220598723</v>
      </c>
      <c r="K254" s="59">
        <f t="shared" si="42"/>
        <v>102684.06712578978</v>
      </c>
      <c r="L254" s="59">
        <f t="shared" si="42"/>
        <v>116097.86661228127</v>
      </c>
      <c r="M254" s="59">
        <f t="shared" si="42"/>
        <v>149518.1338361543</v>
      </c>
      <c r="N254" s="59">
        <f t="shared" si="42"/>
        <v>158571.07169917985</v>
      </c>
      <c r="O254" s="37">
        <f>$O$231*$O$226*(O83+O85+O87)</f>
        <v>1448900.1117235278</v>
      </c>
    </row>
    <row r="255" spans="1:15" ht="11.25">
      <c r="A255" s="17" t="s">
        <v>62</v>
      </c>
      <c r="B255" s="25"/>
      <c r="C255" s="59">
        <f aca="true" t="shared" si="43" ref="C255:N255">$O$232*(C83+C85+C87)</f>
        <v>254036.64692544015</v>
      </c>
      <c r="D255" s="59">
        <f t="shared" si="43"/>
        <v>219686.64269938986</v>
      </c>
      <c r="E255" s="59">
        <f t="shared" si="43"/>
        <v>200861.2108758062</v>
      </c>
      <c r="F255" s="59">
        <f t="shared" si="43"/>
        <v>192157.38328749</v>
      </c>
      <c r="G255" s="59">
        <f t="shared" si="43"/>
        <v>176392.46260042238</v>
      </c>
      <c r="H255" s="59">
        <f t="shared" si="43"/>
        <v>170377.51593819234</v>
      </c>
      <c r="I255" s="59">
        <f t="shared" si="43"/>
        <v>154918.3363724259</v>
      </c>
      <c r="J255" s="59">
        <f t="shared" si="43"/>
        <v>151072.41313375905</v>
      </c>
      <c r="K255" s="59">
        <f t="shared" si="43"/>
        <v>169223.2162473674</v>
      </c>
      <c r="L255" s="59">
        <f t="shared" si="43"/>
        <v>191329.14129239586</v>
      </c>
      <c r="M255" s="59">
        <f t="shared" si="43"/>
        <v>246405.70054615237</v>
      </c>
      <c r="N255" s="59">
        <f t="shared" si="43"/>
        <v>261324.93100273397</v>
      </c>
      <c r="O255" s="37">
        <f>$O$232*(O83+O85+O87)</f>
        <v>2387785.6009215754</v>
      </c>
    </row>
    <row r="256" spans="1:15" ht="11.25">
      <c r="A256" s="18" t="s">
        <v>313</v>
      </c>
      <c r="B256" s="2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37"/>
    </row>
    <row r="257" spans="1:15" ht="11.25">
      <c r="A257" s="17" t="s">
        <v>230</v>
      </c>
      <c r="B257" s="24"/>
      <c r="C257" s="59">
        <f>$O$225*C103</f>
        <v>1621186.3499999999</v>
      </c>
      <c r="D257" s="193">
        <f aca="true" t="shared" si="44" ref="D257:O257">$O$225*D103</f>
        <v>1622837.44</v>
      </c>
      <c r="E257" s="59">
        <f t="shared" si="44"/>
        <v>1598465.8549999997</v>
      </c>
      <c r="F257" s="59">
        <f t="shared" si="44"/>
        <v>1349431.748</v>
      </c>
      <c r="G257" s="59">
        <f t="shared" si="44"/>
        <v>1589229.9919999999</v>
      </c>
      <c r="H257" s="59">
        <f t="shared" si="44"/>
        <v>1618194.592</v>
      </c>
      <c r="I257" s="59">
        <f t="shared" si="44"/>
        <v>1650219.9</v>
      </c>
      <c r="J257" s="59">
        <f t="shared" si="44"/>
        <v>1596261.45</v>
      </c>
      <c r="K257" s="59">
        <f t="shared" si="44"/>
        <v>1620330.67</v>
      </c>
      <c r="L257" s="59">
        <f t="shared" si="44"/>
        <v>947965.0179999999</v>
      </c>
      <c r="M257" s="59">
        <f t="shared" si="44"/>
        <v>1385098.176</v>
      </c>
      <c r="N257" s="59">
        <f t="shared" si="44"/>
        <v>1621257.491</v>
      </c>
      <c r="O257" s="37">
        <f t="shared" si="44"/>
        <v>18220478.681999996</v>
      </c>
    </row>
    <row r="258" spans="1:15" ht="11.25">
      <c r="A258" s="17" t="s">
        <v>228</v>
      </c>
      <c r="B258" s="25"/>
      <c r="C258" s="59">
        <f>$O$226*C103</f>
        <v>694794.1500000001</v>
      </c>
      <c r="D258" s="59">
        <f aca="true" t="shared" si="45" ref="D258:O258">$O$226*D103</f>
        <v>695501.7600000001</v>
      </c>
      <c r="E258" s="59">
        <f t="shared" si="45"/>
        <v>685056.795</v>
      </c>
      <c r="F258" s="59">
        <f t="shared" si="45"/>
        <v>578327.8920000001</v>
      </c>
      <c r="G258" s="59">
        <f t="shared" si="45"/>
        <v>681098.5680000001</v>
      </c>
      <c r="H258" s="59">
        <f t="shared" si="45"/>
        <v>693511.9680000001</v>
      </c>
      <c r="I258" s="59">
        <f t="shared" si="45"/>
        <v>707237.1000000001</v>
      </c>
      <c r="J258" s="59">
        <f t="shared" si="45"/>
        <v>684112.05</v>
      </c>
      <c r="K258" s="59">
        <f t="shared" si="45"/>
        <v>694427.4300000002</v>
      </c>
      <c r="L258" s="59">
        <f t="shared" si="45"/>
        <v>406270.72200000007</v>
      </c>
      <c r="M258" s="59">
        <f t="shared" si="45"/>
        <v>593613.5040000002</v>
      </c>
      <c r="N258" s="59">
        <f t="shared" si="45"/>
        <v>694824.6390000001</v>
      </c>
      <c r="O258" s="37">
        <f t="shared" si="45"/>
        <v>7808776.578000001</v>
      </c>
    </row>
    <row r="259" spans="1:17" ht="11.25">
      <c r="A259" s="17"/>
      <c r="B259" s="2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37"/>
      <c r="Q259" s="86"/>
    </row>
    <row r="260" spans="1:15" ht="11.25">
      <c r="A260" s="26" t="s">
        <v>231</v>
      </c>
      <c r="B260" s="28"/>
      <c r="C260" s="77">
        <f aca="true" t="shared" si="46" ref="C260:N260">SUM(C46:C50)+C53+SUM(C55:C56)+SUM(C58:C65)+SUM(C67:C68)+SUM(C71:C74)+C123+SUM(C126:C127)+C129+SUM(C131:C135)+C147+C157</f>
        <v>40665700.97541479</v>
      </c>
      <c r="D260" s="77">
        <f t="shared" si="46"/>
        <v>36759055.03155336</v>
      </c>
      <c r="E260" s="77">
        <f t="shared" si="46"/>
        <v>25799736.61749173</v>
      </c>
      <c r="F260" s="77">
        <f t="shared" si="46"/>
        <v>26137549.87657741</v>
      </c>
      <c r="G260" s="77">
        <f t="shared" si="46"/>
        <v>21853484.542635664</v>
      </c>
      <c r="H260" s="77">
        <f t="shared" si="46"/>
        <v>28776585.768780358</v>
      </c>
      <c r="I260" s="77">
        <f t="shared" si="46"/>
        <v>36717428.180082254</v>
      </c>
      <c r="J260" s="77">
        <f t="shared" si="46"/>
        <v>37460523.9342619</v>
      </c>
      <c r="K260" s="77">
        <f t="shared" si="46"/>
        <v>43539001.53992827</v>
      </c>
      <c r="L260" s="77">
        <f t="shared" si="46"/>
        <v>48727043.175726205</v>
      </c>
      <c r="M260" s="77">
        <f t="shared" si="46"/>
        <v>42008524.856726214</v>
      </c>
      <c r="N260" s="77">
        <f t="shared" si="46"/>
        <v>38114599.66776085</v>
      </c>
      <c r="O260" s="20">
        <f>SUM(O46:O50)+O53+SUM(O55:O56)+SUM(O58:O65)+SUM(O67:O68)+SUM(O71:O74)+O123+SUM(O126:O127)+O129+SUM(O131:O135)+O147+O157</f>
        <v>426559234.166939</v>
      </c>
    </row>
    <row r="261" ht="11.25">
      <c r="A261" s="10"/>
    </row>
    <row r="263" ht="11.25">
      <c r="A263" s="5" t="s">
        <v>348</v>
      </c>
    </row>
    <row r="264" spans="1:15" ht="11.25">
      <c r="A264" s="15" t="s">
        <v>44</v>
      </c>
      <c r="B264" s="30"/>
      <c r="C264" s="125">
        <f aca="true" t="shared" si="47" ref="C264:C274">(C$275/$O$275)*$O264</f>
        <v>-1138.530409195691</v>
      </c>
      <c r="D264" s="125">
        <f aca="true" t="shared" si="48" ref="D264:N274">(D$275/$O$275)*$O264</f>
        <v>-1091.0872278549805</v>
      </c>
      <c r="E264" s="125">
        <f t="shared" si="48"/>
        <v>-613.876670990551</v>
      </c>
      <c r="F264" s="125">
        <f t="shared" si="48"/>
        <v>-1186.1736340779537</v>
      </c>
      <c r="G264" s="125">
        <f t="shared" si="48"/>
        <v>-1142.1942746809577</v>
      </c>
      <c r="H264" s="125">
        <f t="shared" si="48"/>
        <v>-875.0679075808662</v>
      </c>
      <c r="I264" s="125">
        <f t="shared" si="48"/>
        <v>-510.5341998357097</v>
      </c>
      <c r="J264" s="125">
        <f t="shared" si="48"/>
        <v>-926.6341019390014</v>
      </c>
      <c r="K264" s="125">
        <f t="shared" si="48"/>
        <v>-780.0447378085024</v>
      </c>
      <c r="L264" s="125">
        <f t="shared" si="48"/>
        <v>-874.4412095701933</v>
      </c>
      <c r="M264" s="125">
        <f t="shared" si="48"/>
        <v>-1290.6241801555643</v>
      </c>
      <c r="N264" s="125">
        <f t="shared" si="48"/>
        <v>-736.0544755396653</v>
      </c>
      <c r="O264" s="243">
        <v>-11165.263029229636</v>
      </c>
    </row>
    <row r="265" spans="1:15" ht="11.25">
      <c r="A265" s="18" t="s">
        <v>45</v>
      </c>
      <c r="B265" s="29"/>
      <c r="C265" s="129">
        <f t="shared" si="47"/>
        <v>-12117.028195777833</v>
      </c>
      <c r="D265" s="129">
        <f t="shared" si="48"/>
        <v>-11612.105041016508</v>
      </c>
      <c r="E265" s="129">
        <f t="shared" si="48"/>
        <v>-6533.300183328024</v>
      </c>
      <c r="F265" s="129">
        <f t="shared" si="48"/>
        <v>-12624.080352288951</v>
      </c>
      <c r="G265" s="129">
        <f t="shared" si="48"/>
        <v>-12156.021586759702</v>
      </c>
      <c r="H265" s="129">
        <f t="shared" si="48"/>
        <v>-9313.078002781021</v>
      </c>
      <c r="I265" s="129">
        <f t="shared" si="48"/>
        <v>-5433.458117898097</v>
      </c>
      <c r="J265" s="129">
        <f t="shared" si="48"/>
        <v>-9861.881114177839</v>
      </c>
      <c r="K265" s="129">
        <f t="shared" si="48"/>
        <v>-8301.77569755993</v>
      </c>
      <c r="L265" s="129">
        <f t="shared" si="48"/>
        <v>-9306.408249031603</v>
      </c>
      <c r="M265" s="129">
        <f t="shared" si="48"/>
        <v>-13735.71531756045</v>
      </c>
      <c r="N265" s="129">
        <f t="shared" si="48"/>
        <v>-7833.600896126461</v>
      </c>
      <c r="O265" s="282">
        <v>-118828.45275430642</v>
      </c>
    </row>
    <row r="266" spans="1:15" ht="11.25">
      <c r="A266" s="18" t="s">
        <v>48</v>
      </c>
      <c r="B266" s="29"/>
      <c r="C266" s="129">
        <f t="shared" si="47"/>
        <v>-7664.482922367706</v>
      </c>
      <c r="D266" s="129">
        <f t="shared" si="48"/>
        <v>-7345.099750665201</v>
      </c>
      <c r="E266" s="129">
        <f t="shared" si="48"/>
        <v>-4132.561786005236</v>
      </c>
      <c r="F266" s="129">
        <f t="shared" si="48"/>
        <v>-7985.2127689552835</v>
      </c>
      <c r="G266" s="129">
        <f t="shared" si="48"/>
        <v>-7689.147730803976</v>
      </c>
      <c r="H266" s="129">
        <f t="shared" si="48"/>
        <v>-5890.8773796421265</v>
      </c>
      <c r="I266" s="129">
        <f t="shared" si="48"/>
        <v>-3436.869691245018</v>
      </c>
      <c r="J266" s="129">
        <f t="shared" si="48"/>
        <v>-6238.016299109924</v>
      </c>
      <c r="K266" s="129">
        <f t="shared" si="48"/>
        <v>-5251.190063372695</v>
      </c>
      <c r="L266" s="129">
        <f t="shared" si="48"/>
        <v>-5886.658505766218</v>
      </c>
      <c r="M266" s="129">
        <f t="shared" si="48"/>
        <v>-8688.364323079673</v>
      </c>
      <c r="N266" s="129">
        <f t="shared" si="48"/>
        <v>-4955.051628082096</v>
      </c>
      <c r="O266" s="282">
        <v>-75163.53284909515</v>
      </c>
    </row>
    <row r="267" spans="1:15" ht="11.25">
      <c r="A267" s="18" t="s">
        <v>54</v>
      </c>
      <c r="B267" s="29"/>
      <c r="C267" s="129">
        <f t="shared" si="47"/>
        <v>-15725.86767951219</v>
      </c>
      <c r="D267" s="129">
        <f t="shared" si="48"/>
        <v>-15070.562220797052</v>
      </c>
      <c r="E267" s="129">
        <f t="shared" si="48"/>
        <v>-8479.126443672842</v>
      </c>
      <c r="F267" s="129">
        <f t="shared" si="48"/>
        <v>-16383.93622495666</v>
      </c>
      <c r="G267" s="129">
        <f t="shared" si="48"/>
        <v>-15776.474552505191</v>
      </c>
      <c r="H267" s="129">
        <f t="shared" si="48"/>
        <v>-12086.811220901718</v>
      </c>
      <c r="I267" s="129">
        <f t="shared" si="48"/>
        <v>-7051.716148849958</v>
      </c>
      <c r="J267" s="129">
        <f t="shared" si="48"/>
        <v>-12799.065494184517</v>
      </c>
      <c r="K267" s="129">
        <f t="shared" si="48"/>
        <v>-10774.310665572966</v>
      </c>
      <c r="L267" s="129">
        <f t="shared" si="48"/>
        <v>-12078.155000645102</v>
      </c>
      <c r="M267" s="129">
        <f t="shared" si="48"/>
        <v>-17826.651723289007</v>
      </c>
      <c r="N267" s="129">
        <f t="shared" si="48"/>
        <v>-10166.698398004746</v>
      </c>
      <c r="O267" s="282">
        <v>-154219.37577289194</v>
      </c>
    </row>
    <row r="268" spans="1:15" ht="11.25">
      <c r="A268" s="18" t="s">
        <v>53</v>
      </c>
      <c r="B268" s="29"/>
      <c r="C268" s="129">
        <f t="shared" si="47"/>
        <v>-10017.583143593392</v>
      </c>
      <c r="D268" s="129">
        <f t="shared" si="48"/>
        <v>-9600.145005939348</v>
      </c>
      <c r="E268" s="129">
        <f t="shared" si="48"/>
        <v>-5401.3143100011675</v>
      </c>
      <c r="F268" s="129">
        <f t="shared" si="48"/>
        <v>-10436.781403589055</v>
      </c>
      <c r="G268" s="129">
        <f t="shared" si="48"/>
        <v>-10049.820382782753</v>
      </c>
      <c r="H268" s="129">
        <f t="shared" si="48"/>
        <v>-7699.456641368382</v>
      </c>
      <c r="I268" s="129">
        <f t="shared" si="48"/>
        <v>-4492.035305508555</v>
      </c>
      <c r="J268" s="129">
        <f t="shared" si="48"/>
        <v>-8153.171917841537</v>
      </c>
      <c r="K268" s="129">
        <f t="shared" si="48"/>
        <v>-6863.376642034055</v>
      </c>
      <c r="L268" s="129">
        <f t="shared" si="48"/>
        <v>-7693.942515986107</v>
      </c>
      <c r="M268" s="129">
        <f t="shared" si="48"/>
        <v>-11355.810022653679</v>
      </c>
      <c r="N268" s="129">
        <f t="shared" si="48"/>
        <v>-6476.319690171112</v>
      </c>
      <c r="O268" s="282">
        <v>-98239.75698146914</v>
      </c>
    </row>
    <row r="269" spans="1:15" ht="11.25">
      <c r="A269" s="18" t="s">
        <v>55</v>
      </c>
      <c r="B269" s="29"/>
      <c r="C269" s="129">
        <f t="shared" si="47"/>
        <v>-27413.5753373702</v>
      </c>
      <c r="D269" s="129">
        <f t="shared" si="48"/>
        <v>-26271.236744194743</v>
      </c>
      <c r="E269" s="129">
        <f t="shared" si="48"/>
        <v>-14780.94412949579</v>
      </c>
      <c r="F269" s="129">
        <f t="shared" si="48"/>
        <v>-28560.730585992715</v>
      </c>
      <c r="G269" s="129">
        <f t="shared" si="48"/>
        <v>-27501.79401971291</v>
      </c>
      <c r="H269" s="129">
        <f t="shared" si="48"/>
        <v>-21069.915933760345</v>
      </c>
      <c r="I269" s="129">
        <f t="shared" si="48"/>
        <v>-12292.660465158184</v>
      </c>
      <c r="J269" s="129">
        <f t="shared" si="48"/>
        <v>-22311.528579747428</v>
      </c>
      <c r="K269" s="129">
        <f t="shared" si="48"/>
        <v>-18781.944701449873</v>
      </c>
      <c r="L269" s="129">
        <f t="shared" si="48"/>
        <v>-21054.8262769619</v>
      </c>
      <c r="M269" s="129">
        <f t="shared" si="48"/>
        <v>-31075.69451739165</v>
      </c>
      <c r="N269" s="129">
        <f t="shared" si="48"/>
        <v>-17722.745615437438</v>
      </c>
      <c r="O269" s="282">
        <v>-268837.59690667316</v>
      </c>
    </row>
    <row r="270" spans="1:15" ht="11.25">
      <c r="A270" s="18" t="s">
        <v>58</v>
      </c>
      <c r="B270" s="29"/>
      <c r="C270" s="129">
        <f t="shared" si="47"/>
        <v>-5267.650294507243</v>
      </c>
      <c r="D270" s="129">
        <f t="shared" si="48"/>
        <v>-5048.14444192461</v>
      </c>
      <c r="E270" s="129">
        <f t="shared" si="48"/>
        <v>-2840.2294753101273</v>
      </c>
      <c r="F270" s="129">
        <f t="shared" si="48"/>
        <v>-5488.0816905905685</v>
      </c>
      <c r="G270" s="129">
        <f t="shared" si="48"/>
        <v>-5284.601938439297</v>
      </c>
      <c r="H270" s="129">
        <f t="shared" si="48"/>
        <v>-4048.6856423436075</v>
      </c>
      <c r="I270" s="129">
        <f t="shared" si="48"/>
        <v>-2362.093806541759</v>
      </c>
      <c r="J270" s="129">
        <f t="shared" si="48"/>
        <v>-4287.267481443665</v>
      </c>
      <c r="K270" s="129">
        <f t="shared" si="48"/>
        <v>-3609.0409704107656</v>
      </c>
      <c r="L270" s="129">
        <f t="shared" si="48"/>
        <v>-4045.786092244792</v>
      </c>
      <c r="M270" s="129">
        <f t="shared" si="48"/>
        <v>-5971.344100942752</v>
      </c>
      <c r="N270" s="129">
        <f t="shared" si="48"/>
        <v>-3405.51077383078</v>
      </c>
      <c r="O270" s="282">
        <v>-51658.43670852997</v>
      </c>
    </row>
    <row r="271" spans="1:15" ht="11.25">
      <c r="A271" s="18" t="s">
        <v>59</v>
      </c>
      <c r="B271" s="29"/>
      <c r="C271" s="129">
        <f t="shared" si="47"/>
        <v>-4669.362504250961</v>
      </c>
      <c r="D271" s="129">
        <f t="shared" si="48"/>
        <v>-4474.787629266998</v>
      </c>
      <c r="E271" s="129">
        <f t="shared" si="48"/>
        <v>-2517.6426440666132</v>
      </c>
      <c r="F271" s="129">
        <f t="shared" si="48"/>
        <v>-4864.757801600983</v>
      </c>
      <c r="G271" s="129">
        <f t="shared" si="48"/>
        <v>-4684.388818857358</v>
      </c>
      <c r="H271" s="129">
        <f t="shared" si="48"/>
        <v>-3588.8450965644233</v>
      </c>
      <c r="I271" s="129">
        <f t="shared" si="48"/>
        <v>-2093.812541673527</v>
      </c>
      <c r="J271" s="129">
        <f t="shared" si="48"/>
        <v>-3800.329350720527</v>
      </c>
      <c r="K271" s="129">
        <f t="shared" si="48"/>
        <v>-3199.134270760836</v>
      </c>
      <c r="L271" s="129">
        <f t="shared" si="48"/>
        <v>-3586.2748707989194</v>
      </c>
      <c r="M271" s="129">
        <f t="shared" si="48"/>
        <v>-5293.132361879858</v>
      </c>
      <c r="N271" s="129">
        <f t="shared" si="48"/>
        <v>-3018.7205729524644</v>
      </c>
      <c r="O271" s="282">
        <v>-45791.18846339347</v>
      </c>
    </row>
    <row r="272" spans="1:15" ht="11.25">
      <c r="A272" s="18" t="s">
        <v>46</v>
      </c>
      <c r="B272" s="29"/>
      <c r="C272" s="129">
        <f t="shared" si="47"/>
        <v>-1722.9733225397404</v>
      </c>
      <c r="D272" s="129">
        <f t="shared" si="48"/>
        <v>-1651.1760871508266</v>
      </c>
      <c r="E272" s="129">
        <f t="shared" si="48"/>
        <v>-928.9985747446365</v>
      </c>
      <c r="F272" s="129">
        <f t="shared" si="48"/>
        <v>-1795.0732900143823</v>
      </c>
      <c r="G272" s="129">
        <f t="shared" si="48"/>
        <v>-1728.5179636292553</v>
      </c>
      <c r="H272" s="129">
        <f t="shared" si="48"/>
        <v>-1324.2673607968218</v>
      </c>
      <c r="I272" s="129">
        <f t="shared" si="48"/>
        <v>-772.6072131727386</v>
      </c>
      <c r="J272" s="129">
        <f t="shared" si="48"/>
        <v>-1402.3040794530518</v>
      </c>
      <c r="K272" s="129">
        <f t="shared" si="48"/>
        <v>-1180.465855612074</v>
      </c>
      <c r="L272" s="129">
        <f t="shared" si="48"/>
        <v>-1323.3189592917265</v>
      </c>
      <c r="M272" s="129">
        <f t="shared" si="48"/>
        <v>-1953.1415356781645</v>
      </c>
      <c r="N272" s="129">
        <f t="shared" si="48"/>
        <v>-1113.894029573385</v>
      </c>
      <c r="O272" s="282">
        <v>-16896.738271656803</v>
      </c>
    </row>
    <row r="273" spans="1:15" ht="11.25">
      <c r="A273" s="18" t="s">
        <v>47</v>
      </c>
      <c r="B273" s="29"/>
      <c r="C273" s="129">
        <f t="shared" si="47"/>
        <v>-2496.351929538712</v>
      </c>
      <c r="D273" s="129">
        <f t="shared" si="48"/>
        <v>-2392.3275869943564</v>
      </c>
      <c r="E273" s="129">
        <f t="shared" si="48"/>
        <v>-1345.9914638631883</v>
      </c>
      <c r="F273" s="129">
        <f t="shared" si="48"/>
        <v>-2600.814889336425</v>
      </c>
      <c r="G273" s="129">
        <f t="shared" si="48"/>
        <v>-2504.3853536790275</v>
      </c>
      <c r="H273" s="129">
        <f t="shared" si="48"/>
        <v>-1918.6816987260897</v>
      </c>
      <c r="I273" s="129">
        <f t="shared" si="48"/>
        <v>-1119.4018399172326</v>
      </c>
      <c r="J273" s="129">
        <f t="shared" si="48"/>
        <v>-2031.7461963848198</v>
      </c>
      <c r="K273" s="129">
        <f t="shared" si="48"/>
        <v>-1710.3330491896213</v>
      </c>
      <c r="L273" s="129">
        <f t="shared" si="48"/>
        <v>-1917.307595078488</v>
      </c>
      <c r="M273" s="129">
        <f t="shared" si="48"/>
        <v>-2829.834088240754</v>
      </c>
      <c r="N273" s="129">
        <f t="shared" si="48"/>
        <v>-1613.8796077981845</v>
      </c>
      <c r="O273" s="282">
        <v>-24481.0552987469</v>
      </c>
    </row>
    <row r="274" spans="1:15" ht="11.25">
      <c r="A274" s="18" t="s">
        <v>51</v>
      </c>
      <c r="B274" s="29"/>
      <c r="C274" s="129">
        <f t="shared" si="47"/>
        <v>-1372.9134785125104</v>
      </c>
      <c r="D274" s="129">
        <f t="shared" si="48"/>
        <v>-1315.7034272041847</v>
      </c>
      <c r="E274" s="129">
        <f t="shared" si="48"/>
        <v>-740.2521258459041</v>
      </c>
      <c r="F274" s="129">
        <f t="shared" si="48"/>
        <v>-1430.364755239383</v>
      </c>
      <c r="G274" s="129">
        <f t="shared" si="48"/>
        <v>-1377.3316040781974</v>
      </c>
      <c r="H274" s="129">
        <f t="shared" si="48"/>
        <v>-1055.2133831719336</v>
      </c>
      <c r="I274" s="129">
        <f t="shared" si="48"/>
        <v>-615.6351016493326</v>
      </c>
      <c r="J274" s="129">
        <f t="shared" si="48"/>
        <v>-1117.3952297858445</v>
      </c>
      <c r="K274" s="129">
        <f t="shared" si="48"/>
        <v>-940.6283097318463</v>
      </c>
      <c r="L274" s="129">
        <f t="shared" si="48"/>
        <v>-1054.4576702468678</v>
      </c>
      <c r="M274" s="129">
        <f t="shared" si="48"/>
        <v>-1556.317967722525</v>
      </c>
      <c r="N274" s="129">
        <f t="shared" si="48"/>
        <v>-887.5820111838327</v>
      </c>
      <c r="O274" s="282">
        <v>-13463.795064372362</v>
      </c>
    </row>
    <row r="275" spans="1:18" ht="11.25">
      <c r="A275" s="38" t="s">
        <v>292</v>
      </c>
      <c r="B275" s="34"/>
      <c r="C275" s="78">
        <f>C178</f>
        <v>-89606.31921716618</v>
      </c>
      <c r="D275" s="78">
        <f aca="true" t="shared" si="49" ref="D275:N275">D178</f>
        <v>-85872.37516300881</v>
      </c>
      <c r="E275" s="78">
        <f t="shared" si="49"/>
        <v>-48314.23780732408</v>
      </c>
      <c r="F275" s="78">
        <f t="shared" si="49"/>
        <v>-93356.00739664237</v>
      </c>
      <c r="G275" s="78">
        <f t="shared" si="49"/>
        <v>-89894.67822592863</v>
      </c>
      <c r="H275" s="78">
        <f t="shared" si="49"/>
        <v>-68870.90026763733</v>
      </c>
      <c r="I275" s="78">
        <f t="shared" si="49"/>
        <v>-40180.82443145011</v>
      </c>
      <c r="J275" s="78">
        <f t="shared" si="49"/>
        <v>-72929.33984478815</v>
      </c>
      <c r="K275" s="78">
        <f t="shared" si="49"/>
        <v>-61392.244963503166</v>
      </c>
      <c r="L275" s="78">
        <f t="shared" si="49"/>
        <v>-68821.57694562191</v>
      </c>
      <c r="M275" s="78">
        <f t="shared" si="49"/>
        <v>-101576.63013859408</v>
      </c>
      <c r="N275" s="78">
        <f t="shared" si="49"/>
        <v>-57930.05769870016</v>
      </c>
      <c r="O275" s="134">
        <f>SUM(O264:O274)</f>
        <v>-878745.192100365</v>
      </c>
      <c r="P275" s="281"/>
      <c r="Q275" s="86"/>
      <c r="R275" s="10"/>
    </row>
    <row r="276" spans="3:18" ht="11.25">
      <c r="C276" s="269"/>
      <c r="D276" s="59"/>
      <c r="E276" s="269"/>
      <c r="F276" s="269"/>
      <c r="G276" s="269"/>
      <c r="H276" s="269"/>
      <c r="I276" s="269"/>
      <c r="J276" s="269"/>
      <c r="K276" s="269"/>
      <c r="L276" s="269"/>
      <c r="M276" s="269"/>
      <c r="N276" s="269"/>
      <c r="Q276" s="86"/>
      <c r="R276" s="10"/>
    </row>
    <row r="277" spans="3:16" ht="11.25"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84"/>
    </row>
    <row r="278" spans="1:16" ht="11.25">
      <c r="A278" s="5" t="s">
        <v>306</v>
      </c>
      <c r="C278" s="175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84"/>
    </row>
    <row r="279" spans="1:16" ht="11.25">
      <c r="A279" s="15" t="s">
        <v>44</v>
      </c>
      <c r="B279" s="30"/>
      <c r="C279" s="181">
        <f aca="true" t="shared" si="50" ref="C279:N279">C168+C264</f>
        <v>1669132.4481208043</v>
      </c>
      <c r="D279" s="125">
        <f t="shared" si="50"/>
        <v>1786122.7825221452</v>
      </c>
      <c r="E279" s="125">
        <f t="shared" si="50"/>
        <v>1708737.0223590094</v>
      </c>
      <c r="F279" s="125">
        <f t="shared" si="50"/>
        <v>1764885.308715922</v>
      </c>
      <c r="G279" s="125">
        <f t="shared" si="50"/>
        <v>1739154.480735319</v>
      </c>
      <c r="H279" s="125">
        <f t="shared" si="50"/>
        <v>1817378.7318524192</v>
      </c>
      <c r="I279" s="125">
        <f t="shared" si="50"/>
        <v>1608772.4049701642</v>
      </c>
      <c r="J279" s="125">
        <f t="shared" si="50"/>
        <v>1520695.506298061</v>
      </c>
      <c r="K279" s="125">
        <f t="shared" si="50"/>
        <v>1673383.8474421916</v>
      </c>
      <c r="L279" s="125">
        <f t="shared" si="50"/>
        <v>932625.6334404298</v>
      </c>
      <c r="M279" s="125">
        <f t="shared" si="50"/>
        <v>1421661.0065698444</v>
      </c>
      <c r="N279" s="182">
        <f t="shared" si="50"/>
        <v>1404522.6316044603</v>
      </c>
      <c r="O279" s="183">
        <f aca="true" t="shared" si="51" ref="O279:O289">SUM(C279:N279)</f>
        <v>19047071.804630768</v>
      </c>
      <c r="P279" s="85"/>
    </row>
    <row r="280" spans="1:16" ht="11.25">
      <c r="A280" s="18" t="s">
        <v>45</v>
      </c>
      <c r="B280" s="29" t="s">
        <v>223</v>
      </c>
      <c r="C280" s="176">
        <f aca="true" t="shared" si="52" ref="C280:N280">C169+C265</f>
        <v>4980252.811904222</v>
      </c>
      <c r="D280" s="129">
        <f t="shared" si="52"/>
        <v>5035459.161958983</v>
      </c>
      <c r="E280" s="129">
        <f t="shared" si="52"/>
        <v>4851465.751716672</v>
      </c>
      <c r="F280" s="129">
        <f t="shared" si="52"/>
        <v>4975230.496347711</v>
      </c>
      <c r="G280" s="129">
        <f t="shared" si="52"/>
        <v>4820025.17711324</v>
      </c>
      <c r="H280" s="129">
        <f t="shared" si="52"/>
        <v>4978081.14609722</v>
      </c>
      <c r="I280" s="129">
        <f t="shared" si="52"/>
        <v>4977825.524582101</v>
      </c>
      <c r="J280" s="129">
        <f t="shared" si="52"/>
        <v>4655943.373985822</v>
      </c>
      <c r="K280" s="129">
        <f t="shared" si="52"/>
        <v>4980099.59840244</v>
      </c>
      <c r="L280" s="129">
        <f t="shared" si="52"/>
        <v>4732219.931250968</v>
      </c>
      <c r="M280" s="129">
        <f t="shared" si="52"/>
        <v>2515009.8847824396</v>
      </c>
      <c r="N280" s="177">
        <f t="shared" si="52"/>
        <v>4717965.729603874</v>
      </c>
      <c r="O280" s="162">
        <f t="shared" si="51"/>
        <v>56219578.58774569</v>
      </c>
      <c r="P280" s="85"/>
    </row>
    <row r="281" spans="1:16" ht="11.25">
      <c r="A281" s="18" t="s">
        <v>46</v>
      </c>
      <c r="B281" s="29"/>
      <c r="C281" s="176">
        <f aca="true" t="shared" si="53" ref="C281:N281">C170+C266</f>
        <v>1249028.4279276324</v>
      </c>
      <c r="D281" s="129">
        <f t="shared" si="53"/>
        <v>1262530.0396093347</v>
      </c>
      <c r="E281" s="129">
        <f t="shared" si="53"/>
        <v>1224413.6900539948</v>
      </c>
      <c r="F281" s="129">
        <f t="shared" si="53"/>
        <v>1259059.8331510446</v>
      </c>
      <c r="G281" s="129">
        <f t="shared" si="53"/>
        <v>1220857.104109196</v>
      </c>
      <c r="H281" s="129">
        <f t="shared" si="53"/>
        <v>1262569.2152603578</v>
      </c>
      <c r="I281" s="129">
        <f t="shared" si="53"/>
        <v>1265023.222948755</v>
      </c>
      <c r="J281" s="129">
        <f t="shared" si="53"/>
        <v>1180979.34802089</v>
      </c>
      <c r="K281" s="129">
        <f t="shared" si="53"/>
        <v>1263208.9025766272</v>
      </c>
      <c r="L281" s="129">
        <f t="shared" si="53"/>
        <v>962579.2320542338</v>
      </c>
      <c r="M281" s="129">
        <f t="shared" si="53"/>
        <v>1028772.8522369203</v>
      </c>
      <c r="N281" s="177">
        <f t="shared" si="53"/>
        <v>1200920.491091918</v>
      </c>
      <c r="O281" s="162">
        <f t="shared" si="51"/>
        <v>14379942.359040905</v>
      </c>
      <c r="P281" s="85"/>
    </row>
    <row r="282" spans="1:16" ht="11.25">
      <c r="A282" s="18" t="s">
        <v>47</v>
      </c>
      <c r="B282" s="29"/>
      <c r="C282" s="176">
        <f aca="true" t="shared" si="54" ref="C282:N282">C171+C267</f>
        <v>1947724.8793204878</v>
      </c>
      <c r="D282" s="129">
        <f t="shared" si="54"/>
        <v>1953485.287179203</v>
      </c>
      <c r="E282" s="129">
        <f t="shared" si="54"/>
        <v>1888485.4417563272</v>
      </c>
      <c r="F282" s="129">
        <f t="shared" si="54"/>
        <v>1948646.3236750432</v>
      </c>
      <c r="G282" s="129">
        <f t="shared" si="54"/>
        <v>1905402.8374474947</v>
      </c>
      <c r="H282" s="129">
        <f t="shared" si="54"/>
        <v>1972816.3839790982</v>
      </c>
      <c r="I282" s="129">
        <f t="shared" si="54"/>
        <v>1977851.47905115</v>
      </c>
      <c r="J282" s="129">
        <f t="shared" si="54"/>
        <v>1844226.2353058155</v>
      </c>
      <c r="K282" s="129">
        <f t="shared" si="54"/>
        <v>1974128.884534427</v>
      </c>
      <c r="L282" s="129">
        <f t="shared" si="54"/>
        <v>1908671.0289993547</v>
      </c>
      <c r="M282" s="129">
        <f t="shared" si="54"/>
        <v>1490534.2762767111</v>
      </c>
      <c r="N282" s="177">
        <f t="shared" si="54"/>
        <v>1898502.1259219951</v>
      </c>
      <c r="O282" s="162">
        <f t="shared" si="51"/>
        <v>22710475.183447108</v>
      </c>
      <c r="P282" s="85"/>
    </row>
    <row r="283" spans="1:16" ht="11.25">
      <c r="A283" s="18" t="s">
        <v>48</v>
      </c>
      <c r="B283" s="29"/>
      <c r="C283" s="176">
        <f aca="true" t="shared" si="55" ref="C283:N283">C172+C268</f>
        <v>5237475.803856406</v>
      </c>
      <c r="D283" s="129">
        <f t="shared" si="55"/>
        <v>5318469.66809406</v>
      </c>
      <c r="E283" s="129">
        <f t="shared" si="55"/>
        <v>5102233.605489999</v>
      </c>
      <c r="F283" s="129">
        <f t="shared" si="55"/>
        <v>5230934.093696411</v>
      </c>
      <c r="G283" s="129">
        <f t="shared" si="55"/>
        <v>4892476.735017217</v>
      </c>
      <c r="H283" s="129">
        <f t="shared" si="55"/>
        <v>4551761.005758631</v>
      </c>
      <c r="I283" s="129">
        <f t="shared" si="55"/>
        <v>4236111.798584492</v>
      </c>
      <c r="J283" s="129">
        <f t="shared" si="55"/>
        <v>4733951.641082158</v>
      </c>
      <c r="K283" s="129">
        <f t="shared" si="55"/>
        <v>5129496.0954579655</v>
      </c>
      <c r="L283" s="129">
        <f t="shared" si="55"/>
        <v>3241735.741684014</v>
      </c>
      <c r="M283" s="129">
        <f t="shared" si="55"/>
        <v>4350561.284077346</v>
      </c>
      <c r="N283" s="177">
        <f t="shared" si="55"/>
        <v>4888796.876539829</v>
      </c>
      <c r="O283" s="162">
        <f t="shared" si="51"/>
        <v>56914004.34933853</v>
      </c>
      <c r="P283" s="85"/>
    </row>
    <row r="284" spans="1:16" ht="11.25">
      <c r="A284" s="18" t="s">
        <v>51</v>
      </c>
      <c r="B284" s="29"/>
      <c r="C284" s="176">
        <f aca="true" t="shared" si="56" ref="C284:N284">C173+C269</f>
        <v>1015372.9866626299</v>
      </c>
      <c r="D284" s="129">
        <f t="shared" si="56"/>
        <v>1027266.1472558053</v>
      </c>
      <c r="E284" s="129">
        <f t="shared" si="56"/>
        <v>998796.4838705042</v>
      </c>
      <c r="F284" s="129">
        <f t="shared" si="56"/>
        <v>1019493.1634140073</v>
      </c>
      <c r="G284" s="129">
        <f t="shared" si="56"/>
        <v>1012239.367580287</v>
      </c>
      <c r="H284" s="129">
        <f t="shared" si="56"/>
        <v>1053234.1748662395</v>
      </c>
      <c r="I284" s="129">
        <f t="shared" si="56"/>
        <v>1061172.1915048417</v>
      </c>
      <c r="J284" s="129">
        <f t="shared" si="56"/>
        <v>982622.6958202525</v>
      </c>
      <c r="K284" s="129">
        <f t="shared" si="56"/>
        <v>1055522.14609855</v>
      </c>
      <c r="L284" s="129">
        <f t="shared" si="56"/>
        <v>522150.0366930381</v>
      </c>
      <c r="M284" s="129">
        <f t="shared" si="56"/>
        <v>967813.1863426084</v>
      </c>
      <c r="N284" s="177">
        <f t="shared" si="56"/>
        <v>861131.3545645626</v>
      </c>
      <c r="O284" s="162">
        <f t="shared" si="51"/>
        <v>11576813.934673326</v>
      </c>
      <c r="P284" s="85"/>
    </row>
    <row r="285" spans="1:16" ht="11.25">
      <c r="A285" s="18" t="s">
        <v>53</v>
      </c>
      <c r="B285" s="29"/>
      <c r="C285" s="176">
        <f aca="true" t="shared" si="57" ref="C285:N285">C174+C270</f>
        <v>10884891.565505493</v>
      </c>
      <c r="D285" s="129">
        <f t="shared" si="57"/>
        <v>11810512.455458075</v>
      </c>
      <c r="E285" s="129">
        <f t="shared" si="57"/>
        <v>11227633.17992469</v>
      </c>
      <c r="F285" s="129">
        <f t="shared" si="57"/>
        <v>11796163.33170941</v>
      </c>
      <c r="G285" s="129">
        <f t="shared" si="57"/>
        <v>11405553.05746156</v>
      </c>
      <c r="H285" s="129">
        <f t="shared" si="57"/>
        <v>11915924.682757657</v>
      </c>
      <c r="I285" s="129">
        <f t="shared" si="57"/>
        <v>12585653.913793458</v>
      </c>
      <c r="J285" s="129">
        <f t="shared" si="57"/>
        <v>11762609.176318556</v>
      </c>
      <c r="K285" s="129">
        <f t="shared" si="57"/>
        <v>11404364.36652959</v>
      </c>
      <c r="L285" s="129">
        <f t="shared" si="57"/>
        <v>9299408.504107757</v>
      </c>
      <c r="M285" s="129">
        <f t="shared" si="57"/>
        <v>12450368.694099057</v>
      </c>
      <c r="N285" s="177">
        <f t="shared" si="57"/>
        <v>11875624.42882617</v>
      </c>
      <c r="O285" s="162">
        <f t="shared" si="51"/>
        <v>138418707.35649148</v>
      </c>
      <c r="P285" s="85"/>
    </row>
    <row r="286" spans="1:16" ht="11.25">
      <c r="A286" s="18" t="s">
        <v>54</v>
      </c>
      <c r="B286" s="29"/>
      <c r="C286" s="176">
        <f aca="true" t="shared" si="58" ref="C286:N286">C175+C271</f>
        <v>8642172.19739575</v>
      </c>
      <c r="D286" s="129">
        <f t="shared" si="58"/>
        <v>8991355.259470733</v>
      </c>
      <c r="E286" s="129">
        <f t="shared" si="58"/>
        <v>8222190.7521559335</v>
      </c>
      <c r="F286" s="129">
        <f t="shared" si="58"/>
        <v>7103149.759098399</v>
      </c>
      <c r="G286" s="129">
        <f t="shared" si="58"/>
        <v>8209556.898581143</v>
      </c>
      <c r="H286" s="129">
        <f t="shared" si="58"/>
        <v>9109281.450303435</v>
      </c>
      <c r="I286" s="129">
        <f t="shared" si="58"/>
        <v>8568721.007758327</v>
      </c>
      <c r="J286" s="129">
        <f t="shared" si="58"/>
        <v>8061222.93044928</v>
      </c>
      <c r="K286" s="129">
        <f t="shared" si="58"/>
        <v>8612328.50892924</v>
      </c>
      <c r="L286" s="129">
        <f t="shared" si="58"/>
        <v>8264354.850829201</v>
      </c>
      <c r="M286" s="129">
        <f t="shared" si="58"/>
        <v>8143909.265038121</v>
      </c>
      <c r="N286" s="177">
        <f t="shared" si="58"/>
        <v>7857052.774927048</v>
      </c>
      <c r="O286" s="162">
        <f t="shared" si="51"/>
        <v>99785295.6549366</v>
      </c>
      <c r="P286" s="85"/>
    </row>
    <row r="287" spans="1:16" ht="11.25">
      <c r="A287" s="18" t="s">
        <v>55</v>
      </c>
      <c r="B287" s="29"/>
      <c r="C287" s="176">
        <f aca="true" t="shared" si="59" ref="C287:N287">C176+C272</f>
        <v>17231759.30037746</v>
      </c>
      <c r="D287" s="129">
        <f t="shared" si="59"/>
        <v>17525077.897112846</v>
      </c>
      <c r="E287" s="129">
        <f t="shared" si="59"/>
        <v>16877544.500425257</v>
      </c>
      <c r="F287" s="129">
        <f t="shared" si="59"/>
        <v>17690613.508409988</v>
      </c>
      <c r="G287" s="129">
        <f t="shared" si="59"/>
        <v>16393895.679036371</v>
      </c>
      <c r="H287" s="129">
        <f t="shared" si="59"/>
        <v>16414050.593739202</v>
      </c>
      <c r="I287" s="129">
        <f t="shared" si="59"/>
        <v>16260397.039086826</v>
      </c>
      <c r="J287" s="129">
        <f t="shared" si="59"/>
        <v>15193304.087520547</v>
      </c>
      <c r="K287" s="129">
        <f t="shared" si="59"/>
        <v>15951739.730544388</v>
      </c>
      <c r="L287" s="129">
        <f t="shared" si="59"/>
        <v>12832432.400540708</v>
      </c>
      <c r="M287" s="129">
        <f t="shared" si="59"/>
        <v>12019918.62756432</v>
      </c>
      <c r="N287" s="177">
        <f t="shared" si="59"/>
        <v>13565812.135070428</v>
      </c>
      <c r="O287" s="162">
        <f t="shared" si="51"/>
        <v>187956545.49942833</v>
      </c>
      <c r="P287" s="85"/>
    </row>
    <row r="288" spans="1:16" ht="11.25">
      <c r="A288" s="18" t="s">
        <v>58</v>
      </c>
      <c r="B288" s="29"/>
      <c r="C288" s="176">
        <f aca="true" t="shared" si="60" ref="C288:N288">C177+C273</f>
        <v>9145241.754170462</v>
      </c>
      <c r="D288" s="129">
        <f t="shared" si="60"/>
        <v>9263964.424313007</v>
      </c>
      <c r="E288" s="129">
        <f t="shared" si="60"/>
        <v>8970267.499836138</v>
      </c>
      <c r="F288" s="129">
        <f t="shared" si="60"/>
        <v>9277495.362910664</v>
      </c>
      <c r="G288" s="129">
        <f t="shared" si="60"/>
        <v>8982634.27054632</v>
      </c>
      <c r="H288" s="129">
        <f t="shared" si="60"/>
        <v>9257381.148701273</v>
      </c>
      <c r="I288" s="129">
        <f t="shared" si="60"/>
        <v>9259482.817160083</v>
      </c>
      <c r="J288" s="129">
        <f t="shared" si="60"/>
        <v>8659193.594003614</v>
      </c>
      <c r="K288" s="129">
        <f t="shared" si="60"/>
        <v>6549745.167250811</v>
      </c>
      <c r="L288" s="129">
        <f t="shared" si="60"/>
        <v>8660158.538104922</v>
      </c>
      <c r="M288" s="129">
        <f t="shared" si="60"/>
        <v>9211089.635211758</v>
      </c>
      <c r="N288" s="177">
        <f t="shared" si="60"/>
        <v>8786755.388692202</v>
      </c>
      <c r="O288" s="162">
        <f t="shared" si="51"/>
        <v>106023409.60090125</v>
      </c>
      <c r="P288" s="85"/>
    </row>
    <row r="289" spans="1:16" ht="11.25">
      <c r="A289" s="19" t="s">
        <v>59</v>
      </c>
      <c r="B289" s="29"/>
      <c r="C289" s="178">
        <f aca="true" t="shared" si="61" ref="C289:N289">C179+C274</f>
        <v>1740467.1665214875</v>
      </c>
      <c r="D289" s="179">
        <f t="shared" si="61"/>
        <v>1742806.238972796</v>
      </c>
      <c r="E289" s="179">
        <f t="shared" si="61"/>
        <v>1686825.258274154</v>
      </c>
      <c r="F289" s="179">
        <f t="shared" si="61"/>
        <v>1740409.7152447607</v>
      </c>
      <c r="G289" s="179">
        <f t="shared" si="61"/>
        <v>1727497.209195922</v>
      </c>
      <c r="H289" s="179">
        <f t="shared" si="61"/>
        <v>1784589.2538168281</v>
      </c>
      <c r="I289" s="179">
        <f t="shared" si="61"/>
        <v>1785028.8320983506</v>
      </c>
      <c r="J289" s="179">
        <f t="shared" si="61"/>
        <v>1669815.548770214</v>
      </c>
      <c r="K289" s="179">
        <f t="shared" si="61"/>
        <v>1784703.8388902682</v>
      </c>
      <c r="L289" s="179">
        <f t="shared" si="61"/>
        <v>1726648.412729753</v>
      </c>
      <c r="M289" s="179">
        <f t="shared" si="61"/>
        <v>1742565.6244322776</v>
      </c>
      <c r="N289" s="180">
        <f t="shared" si="61"/>
        <v>1608065.5515888163</v>
      </c>
      <c r="O289" s="163">
        <f t="shared" si="51"/>
        <v>20739422.650535624</v>
      </c>
      <c r="P289" s="85"/>
    </row>
    <row r="290" spans="1:15" ht="11.25">
      <c r="A290" s="38" t="s">
        <v>215</v>
      </c>
      <c r="B290" s="34"/>
      <c r="C290" s="190">
        <f aca="true" t="shared" si="62" ref="C290:O290">SUM(C279:C289)</f>
        <v>63743519.34176283</v>
      </c>
      <c r="D290" s="78">
        <f t="shared" si="62"/>
        <v>65717049.36194699</v>
      </c>
      <c r="E290" s="78">
        <f t="shared" si="62"/>
        <v>62758593.185862675</v>
      </c>
      <c r="F290" s="78">
        <f t="shared" si="62"/>
        <v>63806080.89637336</v>
      </c>
      <c r="G290" s="78">
        <f t="shared" si="62"/>
        <v>62309292.81682407</v>
      </c>
      <c r="H290" s="78">
        <f t="shared" si="62"/>
        <v>64117067.78713237</v>
      </c>
      <c r="I290" s="78">
        <f t="shared" si="62"/>
        <v>63586040.23153855</v>
      </c>
      <c r="J290" s="78">
        <f t="shared" si="62"/>
        <v>60264564.1375752</v>
      </c>
      <c r="K290" s="78">
        <f t="shared" si="62"/>
        <v>60378721.0866565</v>
      </c>
      <c r="L290" s="78">
        <f t="shared" si="62"/>
        <v>53082984.31043438</v>
      </c>
      <c r="M290" s="78">
        <f t="shared" si="62"/>
        <v>55342204.33663141</v>
      </c>
      <c r="N290" s="191">
        <f t="shared" si="62"/>
        <v>58665149.488431305</v>
      </c>
      <c r="O290" s="134">
        <f t="shared" si="62"/>
        <v>733771266.9811696</v>
      </c>
    </row>
    <row r="291" spans="3:16" ht="11.25"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84"/>
    </row>
    <row r="292" spans="3:18" ht="11.25">
      <c r="C292" s="269"/>
      <c r="D292" s="269"/>
      <c r="E292" s="269"/>
      <c r="F292" s="269"/>
      <c r="G292" s="269"/>
      <c r="H292" s="269"/>
      <c r="I292" s="269"/>
      <c r="J292" s="269"/>
      <c r="K292" s="269"/>
      <c r="L292" s="269"/>
      <c r="M292" s="269"/>
      <c r="N292" s="269"/>
      <c r="O292" s="269"/>
      <c r="Q292" s="86"/>
      <c r="R292" s="10"/>
    </row>
    <row r="293" spans="1:18" ht="11.25">
      <c r="A293" s="5" t="s">
        <v>303</v>
      </c>
      <c r="C293" s="269"/>
      <c r="D293" s="269"/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Q293" s="86"/>
      <c r="R293" s="10"/>
    </row>
    <row r="294" spans="1:18" ht="11.25">
      <c r="A294" s="15" t="s">
        <v>216</v>
      </c>
      <c r="B294" s="30"/>
      <c r="C294" s="165">
        <v>1102722.5</v>
      </c>
      <c r="D294" s="165">
        <v>3596507.3194481106</v>
      </c>
      <c r="E294" s="165">
        <v>3940473.2920302115</v>
      </c>
      <c r="F294" s="165">
        <v>4031232.51488837</v>
      </c>
      <c r="G294" s="165">
        <v>3089673.915817963</v>
      </c>
      <c r="H294" s="165">
        <v>3651087.0637041037</v>
      </c>
      <c r="I294" s="165">
        <v>2192134.7263978766</v>
      </c>
      <c r="J294" s="165">
        <v>1067123.3280907692</v>
      </c>
      <c r="K294" s="165">
        <v>1102722.5</v>
      </c>
      <c r="L294" s="165">
        <v>1945682</v>
      </c>
      <c r="M294" s="165">
        <v>2007457.5</v>
      </c>
      <c r="N294" s="165">
        <v>1069922</v>
      </c>
      <c r="O294" s="126">
        <f aca="true" t="shared" si="63" ref="O294:O301">SUM(C294:N294)</f>
        <v>28796738.6603774</v>
      </c>
      <c r="Q294" s="86"/>
      <c r="R294" s="10"/>
    </row>
    <row r="295" spans="1:18" ht="11.25">
      <c r="A295" s="18" t="s">
        <v>42</v>
      </c>
      <c r="B295" s="29"/>
      <c r="C295" s="62">
        <v>4980057.034069201</v>
      </c>
      <c r="D295" s="62">
        <v>4508862.968057749</v>
      </c>
      <c r="E295" s="62">
        <v>5013235.789940226</v>
      </c>
      <c r="F295" s="62">
        <v>3614915.5925971246</v>
      </c>
      <c r="G295" s="62">
        <v>4410696.759168914</v>
      </c>
      <c r="H295" s="62">
        <v>4368754.632775031</v>
      </c>
      <c r="I295" s="62">
        <v>4032341.736657741</v>
      </c>
      <c r="J295" s="62">
        <v>3674785.396894519</v>
      </c>
      <c r="K295" s="62">
        <v>3216353.9763465784</v>
      </c>
      <c r="L295" s="62">
        <v>5061088.44922115</v>
      </c>
      <c r="M295" s="62">
        <v>7069583.576656114</v>
      </c>
      <c r="N295" s="62">
        <v>6644872.87918863</v>
      </c>
      <c r="O295" s="135">
        <f t="shared" si="63"/>
        <v>56595548.79157297</v>
      </c>
      <c r="Q295" s="86"/>
      <c r="R295" s="10"/>
    </row>
    <row r="296" spans="1:18" ht="11.25">
      <c r="A296" s="18" t="s">
        <v>49</v>
      </c>
      <c r="B296" s="29"/>
      <c r="C296" s="62">
        <v>1195330.6282994612</v>
      </c>
      <c r="D296" s="62">
        <v>1063691.1070548312</v>
      </c>
      <c r="E296" s="62">
        <v>92742.69100211347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424923.4363067323</v>
      </c>
      <c r="O296" s="135">
        <f t="shared" si="63"/>
        <v>2776687.8626631377</v>
      </c>
      <c r="Q296" s="86"/>
      <c r="R296" s="10"/>
    </row>
    <row r="297" spans="1:18" ht="11.25">
      <c r="A297" s="18" t="s">
        <v>50</v>
      </c>
      <c r="B297" s="29"/>
      <c r="C297" s="62">
        <v>1240708.4927127054</v>
      </c>
      <c r="D297" s="62">
        <v>1123850.3856244057</v>
      </c>
      <c r="E297" s="62">
        <v>1277302.0898989597</v>
      </c>
      <c r="F297" s="62">
        <v>1006237.9486071605</v>
      </c>
      <c r="G297" s="62">
        <v>1063465.507787312</v>
      </c>
      <c r="H297" s="62">
        <v>1024250.1923780721</v>
      </c>
      <c r="I297" s="62">
        <v>939982.861252651</v>
      </c>
      <c r="J297" s="62">
        <v>836284.5938651063</v>
      </c>
      <c r="K297" s="62">
        <v>800458.588423804</v>
      </c>
      <c r="L297" s="62">
        <v>1303103.9566901482</v>
      </c>
      <c r="M297" s="62">
        <v>1841508.0552148372</v>
      </c>
      <c r="N297" s="62">
        <v>1689595.4745474975</v>
      </c>
      <c r="O297" s="135">
        <f t="shared" si="63"/>
        <v>14146748.147002658</v>
      </c>
      <c r="Q297" s="86"/>
      <c r="R297" s="10"/>
    </row>
    <row r="298" spans="1:18" ht="11.25">
      <c r="A298" s="18" t="s">
        <v>52</v>
      </c>
      <c r="B298" s="29"/>
      <c r="C298" s="62">
        <v>4947197</v>
      </c>
      <c r="D298" s="62">
        <v>2784523.1805518884</v>
      </c>
      <c r="E298" s="62">
        <v>2278363.7079697885</v>
      </c>
      <c r="F298" s="62">
        <v>2860181.9851116296</v>
      </c>
      <c r="G298" s="62">
        <v>2079673.0841820375</v>
      </c>
      <c r="H298" s="62">
        <v>2250590.436295897</v>
      </c>
      <c r="I298" s="62">
        <v>1107340.7736021234</v>
      </c>
      <c r="J298" s="62">
        <v>2066524.1719092305</v>
      </c>
      <c r="K298" s="62">
        <v>1949202.5</v>
      </c>
      <c r="L298" s="62">
        <v>875760</v>
      </c>
      <c r="M298" s="62">
        <v>904735</v>
      </c>
      <c r="N298" s="62">
        <v>1753680</v>
      </c>
      <c r="O298" s="135">
        <f t="shared" si="63"/>
        <v>25857771.839622594</v>
      </c>
      <c r="Q298" s="86"/>
      <c r="R298" s="10"/>
    </row>
    <row r="299" spans="1:18" ht="11.25">
      <c r="A299" s="18" t="s">
        <v>56</v>
      </c>
      <c r="B299" s="29"/>
      <c r="C299" s="62">
        <v>4125043.684918632</v>
      </c>
      <c r="D299" s="62">
        <v>5915227.379263015</v>
      </c>
      <c r="E299" s="62">
        <v>5398974.2691587</v>
      </c>
      <c r="F299" s="62">
        <v>3467671.350804965</v>
      </c>
      <c r="G299" s="62">
        <v>4913590.335338414</v>
      </c>
      <c r="H299" s="62">
        <v>5054085.409812575</v>
      </c>
      <c r="I299" s="62">
        <v>4244486.701030293</v>
      </c>
      <c r="J299" s="62">
        <v>4068011.84432902</v>
      </c>
      <c r="K299" s="62">
        <v>3914415.199229618</v>
      </c>
      <c r="L299" s="62">
        <v>2916180.3540887013</v>
      </c>
      <c r="M299" s="62">
        <v>3966335.6281290483</v>
      </c>
      <c r="N299" s="62">
        <v>4261373.469957138</v>
      </c>
      <c r="O299" s="135">
        <f t="shared" si="63"/>
        <v>52245395.62606012</v>
      </c>
      <c r="Q299" s="86"/>
      <c r="R299" s="10"/>
    </row>
    <row r="300" spans="1:18" ht="11.25">
      <c r="A300" s="18" t="s">
        <v>57</v>
      </c>
      <c r="B300" s="29"/>
      <c r="C300" s="62">
        <v>0</v>
      </c>
      <c r="D300" s="62">
        <v>0</v>
      </c>
      <c r="E300" s="62">
        <v>0</v>
      </c>
      <c r="F300" s="62">
        <v>350067.447990749</v>
      </c>
      <c r="G300" s="62">
        <v>421559.9455053609</v>
      </c>
      <c r="H300" s="62">
        <v>406006.15503432194</v>
      </c>
      <c r="I300" s="62">
        <v>372602.84105931706</v>
      </c>
      <c r="J300" s="62">
        <v>343341.03091135394</v>
      </c>
      <c r="K300" s="62">
        <v>0</v>
      </c>
      <c r="L300" s="62">
        <v>0</v>
      </c>
      <c r="M300" s="62">
        <v>0</v>
      </c>
      <c r="N300" s="62">
        <v>0</v>
      </c>
      <c r="O300" s="135">
        <f t="shared" si="63"/>
        <v>1893577.420501103</v>
      </c>
      <c r="Q300" s="86"/>
      <c r="R300" s="10"/>
    </row>
    <row r="301" spans="1:18" ht="11.25">
      <c r="A301" s="18" t="s">
        <v>293</v>
      </c>
      <c r="B301" s="29"/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135">
        <f t="shared" si="63"/>
        <v>0</v>
      </c>
      <c r="Q301" s="86"/>
      <c r="R301" s="10"/>
    </row>
    <row r="302" spans="1:18" ht="11.25">
      <c r="A302" s="38" t="s">
        <v>294</v>
      </c>
      <c r="B302" s="34"/>
      <c r="C302" s="78">
        <f>SUM(C294:C301)</f>
        <v>17591059.34</v>
      </c>
      <c r="D302" s="78">
        <f aca="true" t="shared" si="64" ref="D302:O302">SUM(D294:D301)</f>
        <v>18992662.34</v>
      </c>
      <c r="E302" s="78">
        <f t="shared" si="64"/>
        <v>18001091.84</v>
      </c>
      <c r="F302" s="78">
        <f t="shared" si="64"/>
        <v>15330306.84</v>
      </c>
      <c r="G302" s="78">
        <f t="shared" si="64"/>
        <v>15978659.547799999</v>
      </c>
      <c r="H302" s="78">
        <f t="shared" si="64"/>
        <v>16754773.89</v>
      </c>
      <c r="I302" s="78">
        <f t="shared" si="64"/>
        <v>12888889.640000002</v>
      </c>
      <c r="J302" s="78">
        <f t="shared" si="64"/>
        <v>12056070.365999999</v>
      </c>
      <c r="K302" s="78">
        <f t="shared" si="64"/>
        <v>10983152.764</v>
      </c>
      <c r="L302" s="78">
        <f t="shared" si="64"/>
        <v>12101814.76</v>
      </c>
      <c r="M302" s="78">
        <f t="shared" si="64"/>
        <v>15789619.76</v>
      </c>
      <c r="N302" s="78">
        <f t="shared" si="64"/>
        <v>15844367.259999998</v>
      </c>
      <c r="O302" s="134">
        <f t="shared" si="64"/>
        <v>182312468.3478</v>
      </c>
      <c r="Q302" s="86"/>
      <c r="R302" s="10"/>
    </row>
    <row r="303" spans="17:18" ht="11.25">
      <c r="Q303" s="86"/>
      <c r="R303" s="10"/>
    </row>
    <row r="304" spans="17:18" ht="11.25">
      <c r="Q304" s="86"/>
      <c r="R304" s="10"/>
    </row>
    <row r="305" spans="1:13" ht="11.25">
      <c r="A305" s="5" t="s">
        <v>307</v>
      </c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6" ht="11.25">
      <c r="A306" s="15" t="s">
        <v>216</v>
      </c>
      <c r="B306" s="30"/>
      <c r="C306" s="188">
        <f aca="true" t="shared" si="65" ref="C306:N306">C183+C294</f>
        <v>1102722.5</v>
      </c>
      <c r="D306" s="125">
        <f t="shared" si="65"/>
        <v>12114868.80294811</v>
      </c>
      <c r="E306" s="125">
        <f t="shared" si="65"/>
        <v>13468792.352030212</v>
      </c>
      <c r="F306" s="125">
        <f t="shared" si="65"/>
        <v>12805368.51088837</v>
      </c>
      <c r="G306" s="125">
        <f t="shared" si="65"/>
        <v>12054714.926317964</v>
      </c>
      <c r="H306" s="125">
        <f t="shared" si="65"/>
        <v>15767306.111504104</v>
      </c>
      <c r="I306" s="125">
        <f t="shared" si="65"/>
        <v>10249490.641097877</v>
      </c>
      <c r="J306" s="125">
        <f t="shared" si="65"/>
        <v>1145343.6900907692</v>
      </c>
      <c r="K306" s="125">
        <f t="shared" si="65"/>
        <v>1102722.5</v>
      </c>
      <c r="L306" s="125">
        <f t="shared" si="65"/>
        <v>1945682</v>
      </c>
      <c r="M306" s="125">
        <f t="shared" si="65"/>
        <v>2007457.5</v>
      </c>
      <c r="N306" s="182">
        <f t="shared" si="65"/>
        <v>1069922</v>
      </c>
      <c r="O306" s="183">
        <f aca="true" t="shared" si="66" ref="O306:O312">SUM(C306:N306)</f>
        <v>84834391.5348774</v>
      </c>
      <c r="P306" s="85"/>
    </row>
    <row r="307" spans="1:16" ht="11.25">
      <c r="A307" s="18" t="s">
        <v>42</v>
      </c>
      <c r="B307" s="29"/>
      <c r="C307" s="176">
        <f aca="true" t="shared" si="67" ref="C307:N307">C184+C295</f>
        <v>11781200.7344892</v>
      </c>
      <c r="D307" s="129">
        <f t="shared" si="67"/>
        <v>11509702.14183775</v>
      </c>
      <c r="E307" s="129">
        <f t="shared" si="67"/>
        <v>11748386.214340225</v>
      </c>
      <c r="F307" s="129">
        <f t="shared" si="67"/>
        <v>9792212.983247126</v>
      </c>
      <c r="G307" s="129">
        <f t="shared" si="67"/>
        <v>11714431.039568912</v>
      </c>
      <c r="H307" s="129">
        <f t="shared" si="67"/>
        <v>12752826.63382503</v>
      </c>
      <c r="I307" s="129">
        <f t="shared" si="67"/>
        <v>12629147.36065774</v>
      </c>
      <c r="J307" s="129">
        <f t="shared" si="67"/>
        <v>11565607.146354519</v>
      </c>
      <c r="K307" s="129">
        <f t="shared" si="67"/>
        <v>11270377.010786578</v>
      </c>
      <c r="L307" s="129">
        <f t="shared" si="67"/>
        <v>12121239.496981151</v>
      </c>
      <c r="M307" s="129">
        <f t="shared" si="67"/>
        <v>14297417.058656115</v>
      </c>
      <c r="N307" s="177">
        <f t="shared" si="67"/>
        <v>13769008.06753863</v>
      </c>
      <c r="O307" s="162">
        <f t="shared" si="66"/>
        <v>144951555.88828298</v>
      </c>
      <c r="P307" s="85"/>
    </row>
    <row r="308" spans="1:16" ht="11.25">
      <c r="A308" s="18" t="s">
        <v>49</v>
      </c>
      <c r="B308" s="29" t="s">
        <v>86</v>
      </c>
      <c r="C308" s="176">
        <f aca="true" t="shared" si="68" ref="C308:N308">C185+C296</f>
        <v>3154893.8705394613</v>
      </c>
      <c r="D308" s="129">
        <f t="shared" si="68"/>
        <v>3046774.9213048313</v>
      </c>
      <c r="E308" s="129">
        <f t="shared" si="68"/>
        <v>244735.57732211344</v>
      </c>
      <c r="F308" s="129">
        <f t="shared" si="68"/>
        <v>0</v>
      </c>
      <c r="G308" s="129">
        <f t="shared" si="68"/>
        <v>0</v>
      </c>
      <c r="H308" s="129">
        <f t="shared" si="68"/>
        <v>0</v>
      </c>
      <c r="I308" s="129">
        <f t="shared" si="68"/>
        <v>0</v>
      </c>
      <c r="J308" s="129">
        <f t="shared" si="68"/>
        <v>0</v>
      </c>
      <c r="K308" s="129">
        <f t="shared" si="68"/>
        <v>0</v>
      </c>
      <c r="L308" s="129">
        <f t="shared" si="68"/>
        <v>0</v>
      </c>
      <c r="M308" s="129">
        <f t="shared" si="68"/>
        <v>0</v>
      </c>
      <c r="N308" s="177">
        <f t="shared" si="68"/>
        <v>993880.2413467322</v>
      </c>
      <c r="O308" s="162">
        <f t="shared" si="66"/>
        <v>7440284.610513138</v>
      </c>
      <c r="P308" s="85"/>
    </row>
    <row r="309" spans="1:16" ht="11.25">
      <c r="A309" s="18" t="s">
        <v>50</v>
      </c>
      <c r="B309" s="29" t="s">
        <v>85</v>
      </c>
      <c r="C309" s="176">
        <f aca="true" t="shared" si="69" ref="C309:N309">C186+C297</f>
        <v>3144243.4890327053</v>
      </c>
      <c r="D309" s="129">
        <f t="shared" si="69"/>
        <v>3066797.122824406</v>
      </c>
      <c r="E309" s="129">
        <f t="shared" si="69"/>
        <v>3144914.2298989594</v>
      </c>
      <c r="F309" s="129">
        <f t="shared" si="69"/>
        <v>2943088.64740716</v>
      </c>
      <c r="G309" s="129">
        <f t="shared" si="69"/>
        <v>3014978.311787312</v>
      </c>
      <c r="H309" s="129">
        <f t="shared" si="69"/>
        <v>3191348.765978072</v>
      </c>
      <c r="I309" s="129">
        <f t="shared" si="69"/>
        <v>3161521.187092651</v>
      </c>
      <c r="J309" s="129">
        <f t="shared" si="69"/>
        <v>2831330.0600651065</v>
      </c>
      <c r="K309" s="129">
        <f t="shared" si="69"/>
        <v>2988003.844423804</v>
      </c>
      <c r="L309" s="129">
        <f t="shared" si="69"/>
        <v>3302916.9742901484</v>
      </c>
      <c r="M309" s="129">
        <f t="shared" si="69"/>
        <v>3890667.748814837</v>
      </c>
      <c r="N309" s="177">
        <f t="shared" si="69"/>
        <v>3674824.3881474975</v>
      </c>
      <c r="O309" s="162">
        <f t="shared" si="66"/>
        <v>38354634.76976266</v>
      </c>
      <c r="P309" s="85"/>
    </row>
    <row r="310" spans="1:16" ht="11.25">
      <c r="A310" s="18" t="s">
        <v>52</v>
      </c>
      <c r="B310" s="29"/>
      <c r="C310" s="176">
        <f aca="true" t="shared" si="70" ref="C310:N310">C187+C298</f>
        <v>7555168.235601349</v>
      </c>
      <c r="D310" s="129">
        <f t="shared" si="70"/>
        <v>8273822.838831813</v>
      </c>
      <c r="E310" s="129">
        <f t="shared" si="70"/>
        <v>7036429.427488076</v>
      </c>
      <c r="F310" s="129">
        <f t="shared" si="70"/>
        <v>7888770.157415604</v>
      </c>
      <c r="G310" s="129">
        <f t="shared" si="70"/>
        <v>7066075.659887202</v>
      </c>
      <c r="H310" s="129">
        <f t="shared" si="70"/>
        <v>7840680.285945761</v>
      </c>
      <c r="I310" s="129">
        <f t="shared" si="70"/>
        <v>5739790.034153882</v>
      </c>
      <c r="J310" s="129">
        <f t="shared" si="70"/>
        <v>5545038.01484064</v>
      </c>
      <c r="K310" s="129">
        <f t="shared" si="70"/>
        <v>3428293.17739778</v>
      </c>
      <c r="L310" s="129">
        <f t="shared" si="70"/>
        <v>1876166.709395714</v>
      </c>
      <c r="M310" s="129">
        <f t="shared" si="70"/>
        <v>1905141.709395714</v>
      </c>
      <c r="N310" s="177">
        <f t="shared" si="70"/>
        <v>2796468.23913035</v>
      </c>
      <c r="O310" s="162">
        <f t="shared" si="66"/>
        <v>66951844.48948388</v>
      </c>
      <c r="P310" s="85"/>
    </row>
    <row r="311" spans="1:16" ht="11.25">
      <c r="A311" s="18" t="s">
        <v>56</v>
      </c>
      <c r="B311" s="29"/>
      <c r="C311" s="176">
        <f aca="true" t="shared" si="71" ref="C311:N311">C188+C299</f>
        <v>9691112.313783012</v>
      </c>
      <c r="D311" s="129">
        <f t="shared" si="71"/>
        <v>14820270.64330049</v>
      </c>
      <c r="E311" s="129">
        <f t="shared" si="71"/>
        <v>12563350.706585672</v>
      </c>
      <c r="F311" s="129">
        <f t="shared" si="71"/>
        <v>8904634.910844516</v>
      </c>
      <c r="G311" s="129">
        <f t="shared" si="71"/>
        <v>12725904.665171374</v>
      </c>
      <c r="H311" s="129">
        <f t="shared" si="71"/>
        <v>14368823.240781192</v>
      </c>
      <c r="I311" s="129">
        <f t="shared" si="71"/>
        <v>12809532.13288777</v>
      </c>
      <c r="J311" s="129">
        <f t="shared" si="71"/>
        <v>12378470.804351203</v>
      </c>
      <c r="K311" s="129">
        <f t="shared" si="71"/>
        <v>13162915.005955063</v>
      </c>
      <c r="L311" s="129">
        <f t="shared" si="71"/>
        <v>6770279.952697198</v>
      </c>
      <c r="M311" s="129">
        <f t="shared" si="71"/>
        <v>7961435.158602065</v>
      </c>
      <c r="N311" s="177">
        <f t="shared" si="71"/>
        <v>8851368.28170652</v>
      </c>
      <c r="O311" s="162">
        <f t="shared" si="66"/>
        <v>135008097.81666607</v>
      </c>
      <c r="P311" s="85"/>
    </row>
    <row r="312" spans="1:16" ht="11.25">
      <c r="A312" s="19" t="s">
        <v>57</v>
      </c>
      <c r="B312" s="13"/>
      <c r="C312" s="189">
        <f aca="true" t="shared" si="72" ref="C312:N312">C189+C300</f>
        <v>0</v>
      </c>
      <c r="D312" s="179">
        <f t="shared" si="72"/>
        <v>0</v>
      </c>
      <c r="E312" s="179">
        <f t="shared" si="72"/>
        <v>0</v>
      </c>
      <c r="F312" s="179">
        <f t="shared" si="72"/>
        <v>1023894.853590749</v>
      </c>
      <c r="G312" s="179">
        <f t="shared" si="72"/>
        <v>1195142.830305361</v>
      </c>
      <c r="H312" s="179">
        <f t="shared" si="72"/>
        <v>1265027.806234322</v>
      </c>
      <c r="I312" s="179">
        <f t="shared" si="72"/>
        <v>1253204.082659317</v>
      </c>
      <c r="J312" s="179">
        <f t="shared" si="72"/>
        <v>1162258.876511354</v>
      </c>
      <c r="K312" s="179">
        <f t="shared" si="72"/>
        <v>0</v>
      </c>
      <c r="L312" s="179">
        <f t="shared" si="72"/>
        <v>0</v>
      </c>
      <c r="M312" s="179">
        <f t="shared" si="72"/>
        <v>0</v>
      </c>
      <c r="N312" s="180">
        <f t="shared" si="72"/>
        <v>0</v>
      </c>
      <c r="O312" s="163">
        <f t="shared" si="66"/>
        <v>5899528.449301103</v>
      </c>
      <c r="P312" s="85"/>
    </row>
    <row r="313" spans="1:15" ht="11.25">
      <c r="A313" s="19" t="s">
        <v>217</v>
      </c>
      <c r="B313" s="13"/>
      <c r="C313" s="185">
        <f aca="true" t="shared" si="73" ref="C313:O313">SUM(C306:C312)</f>
        <v>36429341.14344573</v>
      </c>
      <c r="D313" s="77">
        <f t="shared" si="73"/>
        <v>52832236.4710474</v>
      </c>
      <c r="E313" s="77">
        <f t="shared" si="73"/>
        <v>48206608.50766526</v>
      </c>
      <c r="F313" s="77">
        <f t="shared" si="73"/>
        <v>43357970.063393526</v>
      </c>
      <c r="G313" s="77">
        <f t="shared" si="73"/>
        <v>47771247.43303812</v>
      </c>
      <c r="H313" s="77">
        <f t="shared" si="73"/>
        <v>55186012.84426848</v>
      </c>
      <c r="I313" s="77">
        <f t="shared" si="73"/>
        <v>45842685.438549235</v>
      </c>
      <c r="J313" s="77">
        <f t="shared" si="73"/>
        <v>34628048.59221359</v>
      </c>
      <c r="K313" s="77">
        <f t="shared" si="73"/>
        <v>31952311.538563225</v>
      </c>
      <c r="L313" s="77">
        <f t="shared" si="73"/>
        <v>26016285.13336421</v>
      </c>
      <c r="M313" s="77">
        <f t="shared" si="73"/>
        <v>30062119.17546873</v>
      </c>
      <c r="N313" s="186">
        <f t="shared" si="73"/>
        <v>31155471.21786973</v>
      </c>
      <c r="O313" s="187">
        <f t="shared" si="73"/>
        <v>483440337.55888724</v>
      </c>
    </row>
    <row r="314" ht="11.25">
      <c r="Q314" s="86"/>
    </row>
    <row r="315" spans="1:17" ht="11.25">
      <c r="A315" s="10"/>
      <c r="Q315" s="86"/>
    </row>
    <row r="316" spans="1:17" ht="11.25">
      <c r="A316" s="5" t="s">
        <v>291</v>
      </c>
      <c r="Q316" s="86"/>
    </row>
    <row r="317" spans="1:17" ht="11.25">
      <c r="A317" s="204" t="s">
        <v>224</v>
      </c>
      <c r="B317" s="30"/>
      <c r="C317" s="165">
        <v>2230634.2446042513</v>
      </c>
      <c r="D317" s="165">
        <v>2234487.2246042513</v>
      </c>
      <c r="E317" s="165">
        <v>2233535.9946042513</v>
      </c>
      <c r="F317" s="165">
        <v>2247525.544604251</v>
      </c>
      <c r="G317" s="165">
        <v>2238880.584604251</v>
      </c>
      <c r="H317" s="165">
        <v>2302774.334604251</v>
      </c>
      <c r="I317" s="165">
        <v>2274857.924604251</v>
      </c>
      <c r="J317" s="165">
        <v>2265299.014604251</v>
      </c>
      <c r="K317" s="165">
        <v>2277176.9946042513</v>
      </c>
      <c r="L317" s="165">
        <v>2253027.544604251</v>
      </c>
      <c r="M317" s="165">
        <v>2241285.8246042514</v>
      </c>
      <c r="N317" s="165">
        <v>2234873.724604251</v>
      </c>
      <c r="O317" s="126">
        <f>SUM(C317:N317)</f>
        <v>27034358.955251016</v>
      </c>
      <c r="Q317" s="86"/>
    </row>
    <row r="318" spans="1:17" ht="11.25">
      <c r="A318" s="94" t="s">
        <v>225</v>
      </c>
      <c r="B318" s="29"/>
      <c r="C318" s="62"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135">
        <f>SUM(C318:N318)</f>
        <v>0</v>
      </c>
      <c r="Q318" s="86"/>
    </row>
    <row r="319" spans="1:17" ht="11.25">
      <c r="A319" s="94" t="s">
        <v>62</v>
      </c>
      <c r="B319" s="29"/>
      <c r="C319" s="199">
        <v>8307774.266199639</v>
      </c>
      <c r="D319" s="62">
        <v>8409938.120461825</v>
      </c>
      <c r="E319" s="62">
        <v>8312908.695754135</v>
      </c>
      <c r="F319" s="62">
        <v>8327266.364793237</v>
      </c>
      <c r="G319" s="62">
        <v>8882206.933620216</v>
      </c>
      <c r="H319" s="62">
        <v>9219892.570014577</v>
      </c>
      <c r="I319" s="62">
        <v>8963507.971553665</v>
      </c>
      <c r="J319" s="62">
        <v>9033175.222355338</v>
      </c>
      <c r="K319" s="62">
        <v>8780590.23397536</v>
      </c>
      <c r="L319" s="62">
        <v>8858649.77775287</v>
      </c>
      <c r="M319" s="62">
        <v>8371767.729865621</v>
      </c>
      <c r="N319" s="62">
        <v>8349176.67013256</v>
      </c>
      <c r="O319" s="135">
        <f>SUM(C319:N319)</f>
        <v>103816854.55647907</v>
      </c>
      <c r="Q319" s="86"/>
    </row>
    <row r="320" spans="1:17" ht="11.25">
      <c r="A320" s="94" t="s">
        <v>23</v>
      </c>
      <c r="B320" s="29"/>
      <c r="C320" s="62">
        <v>91315.05499999996</v>
      </c>
      <c r="D320" s="62">
        <v>288756.19200000004</v>
      </c>
      <c r="E320" s="62">
        <v>777797.4730000001</v>
      </c>
      <c r="F320" s="62">
        <v>331324.236</v>
      </c>
      <c r="G320" s="62">
        <v>183654.105</v>
      </c>
      <c r="H320" s="62">
        <v>386252.319</v>
      </c>
      <c r="I320" s="62">
        <v>500493.076</v>
      </c>
      <c r="J320" s="62">
        <v>358711.43000000005</v>
      </c>
      <c r="K320" s="62">
        <v>532729.5869999999</v>
      </c>
      <c r="L320" s="62">
        <v>359803.46499999997</v>
      </c>
      <c r="M320" s="62">
        <v>263891.561</v>
      </c>
      <c r="N320" s="62">
        <v>435596.973</v>
      </c>
      <c r="O320" s="135">
        <f>SUM(C320:N320)</f>
        <v>4510325.472</v>
      </c>
      <c r="Q320" s="86"/>
    </row>
    <row r="321" spans="1:17" ht="11.25">
      <c r="A321" s="26" t="s">
        <v>289</v>
      </c>
      <c r="B321" s="13"/>
      <c r="C321" s="203">
        <v>363897.79</v>
      </c>
      <c r="D321" s="65">
        <v>256682.49</v>
      </c>
      <c r="E321" s="65">
        <v>194242.94</v>
      </c>
      <c r="F321" s="65">
        <v>266256.99</v>
      </c>
      <c r="G321" s="65">
        <v>259868.64</v>
      </c>
      <c r="H321" s="65">
        <v>526339.69</v>
      </c>
      <c r="I321" s="65">
        <v>186230.72</v>
      </c>
      <c r="J321" s="65">
        <v>169011.91999999998</v>
      </c>
      <c r="K321" s="65">
        <v>235973.74</v>
      </c>
      <c r="L321" s="65">
        <v>314503.03</v>
      </c>
      <c r="M321" s="65">
        <v>263818.94999999995</v>
      </c>
      <c r="N321" s="65">
        <v>322529.01</v>
      </c>
      <c r="O321" s="130">
        <f>SUM(C321:N321)</f>
        <v>3359355.91</v>
      </c>
      <c r="Q321" s="86"/>
    </row>
    <row r="322" spans="1:17" ht="11.25">
      <c r="A322" s="205" t="s">
        <v>290</v>
      </c>
      <c r="B322" s="34"/>
      <c r="C322" s="167">
        <f>SUM(C317:C321)</f>
        <v>10993621.355803888</v>
      </c>
      <c r="D322" s="167">
        <f aca="true" t="shared" si="74" ref="D322:O322">SUM(D317:D321)</f>
        <v>11189864.027066076</v>
      </c>
      <c r="E322" s="167">
        <f t="shared" si="74"/>
        <v>11518485.103358384</v>
      </c>
      <c r="F322" s="167">
        <f t="shared" si="74"/>
        <v>11172373.135397488</v>
      </c>
      <c r="G322" s="167">
        <f t="shared" si="74"/>
        <v>11564610.263224468</v>
      </c>
      <c r="H322" s="167">
        <f t="shared" si="74"/>
        <v>12435258.91361883</v>
      </c>
      <c r="I322" s="167">
        <f t="shared" si="74"/>
        <v>11925089.692157917</v>
      </c>
      <c r="J322" s="167">
        <f t="shared" si="74"/>
        <v>11826197.586959587</v>
      </c>
      <c r="K322" s="167">
        <f t="shared" si="74"/>
        <v>11826470.55557961</v>
      </c>
      <c r="L322" s="167">
        <f t="shared" si="74"/>
        <v>11785983.817357121</v>
      </c>
      <c r="M322" s="167">
        <f t="shared" si="74"/>
        <v>11140764.065469872</v>
      </c>
      <c r="N322" s="167">
        <f t="shared" si="74"/>
        <v>11342176.37773681</v>
      </c>
      <c r="O322" s="166">
        <f t="shared" si="74"/>
        <v>138720894.89373007</v>
      </c>
      <c r="Q322" s="86"/>
    </row>
    <row r="323" spans="1:17" ht="11.25">
      <c r="A323" s="38" t="s">
        <v>308</v>
      </c>
      <c r="B323" s="34"/>
      <c r="C323" s="206">
        <f aca="true" t="shared" si="75" ref="C323:N323">C322-C165</f>
        <v>-7.36919611133635</v>
      </c>
      <c r="D323" s="206">
        <f t="shared" si="75"/>
        <v>1.1300660762935877</v>
      </c>
      <c r="E323" s="206">
        <f t="shared" si="75"/>
        <v>-0.29964161477983</v>
      </c>
      <c r="F323" s="206">
        <f t="shared" si="75"/>
        <v>0.529397489503026</v>
      </c>
      <c r="G323" s="206">
        <f t="shared" si="75"/>
        <v>0.4082244671881199</v>
      </c>
      <c r="H323" s="206">
        <f t="shared" si="75"/>
        <v>-0.3953811712563038</v>
      </c>
      <c r="I323" s="206">
        <f t="shared" si="75"/>
        <v>0.1461579166352749</v>
      </c>
      <c r="J323" s="206">
        <f t="shared" si="75"/>
        <v>0.1969595868140459</v>
      </c>
      <c r="K323" s="206">
        <f t="shared" si="75"/>
        <v>-0.4614203907549381</v>
      </c>
      <c r="L323" s="206">
        <f t="shared" si="75"/>
        <v>0.2023571226745844</v>
      </c>
      <c r="M323" s="206">
        <f t="shared" si="75"/>
        <v>-0.29553012922406197</v>
      </c>
      <c r="N323" s="206">
        <f t="shared" si="75"/>
        <v>-0.09526318870484829</v>
      </c>
      <c r="O323" s="207">
        <f>SUM(C323:N323)</f>
        <v>-6.303269946947694</v>
      </c>
      <c r="Q323" s="86"/>
    </row>
    <row r="324" spans="1:17" ht="11.25">
      <c r="A324" s="139"/>
      <c r="B324" s="29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219"/>
      <c r="Q324" s="86"/>
    </row>
    <row r="325" spans="1:18" ht="11.25">
      <c r="A325" s="139"/>
      <c r="B325" s="29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219"/>
      <c r="Q325" s="86"/>
      <c r="R325" s="10"/>
    </row>
    <row r="326" spans="1:19" ht="11.25">
      <c r="A326" s="7" t="s">
        <v>328</v>
      </c>
      <c r="B326" s="59"/>
      <c r="D326" s="231" t="s">
        <v>328</v>
      </c>
      <c r="E326" s="233"/>
      <c r="F326" s="233"/>
      <c r="G326" s="231" t="s">
        <v>328</v>
      </c>
      <c r="H326" s="233"/>
      <c r="I326" s="233"/>
      <c r="J326" s="233"/>
      <c r="K326" s="231" t="s">
        <v>328</v>
      </c>
      <c r="L326" s="233"/>
      <c r="M326" s="233"/>
      <c r="N326" s="231" t="s">
        <v>328</v>
      </c>
      <c r="O326" s="59"/>
      <c r="P326" s="59"/>
      <c r="Q326" s="59"/>
      <c r="R326" s="59"/>
      <c r="S326" s="59"/>
    </row>
    <row r="327" ht="11.25">
      <c r="R327" s="10" t="s">
        <v>279</v>
      </c>
    </row>
    <row r="328" spans="15:18" ht="11.25">
      <c r="O328" s="3"/>
      <c r="Q328" s="86"/>
      <c r="R328" s="10" t="s">
        <v>280</v>
      </c>
    </row>
    <row r="329" spans="1:18" ht="11.25">
      <c r="A329" s="41" t="s">
        <v>331</v>
      </c>
      <c r="B329" s="220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40"/>
      <c r="Q329" s="86"/>
      <c r="R329" s="10" t="s">
        <v>281</v>
      </c>
    </row>
    <row r="330" spans="15:19" ht="11.25">
      <c r="O330" s="3"/>
      <c r="Q330" s="86"/>
      <c r="R330" s="10" t="s">
        <v>282</v>
      </c>
      <c r="S330" s="154" t="s">
        <v>314</v>
      </c>
    </row>
    <row r="331" spans="1:19" ht="11.25">
      <c r="A331" s="106" t="s">
        <v>1</v>
      </c>
      <c r="B331" s="21" t="s">
        <v>235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92"/>
      <c r="Q331" s="86"/>
      <c r="R331" s="92"/>
      <c r="S331" s="152"/>
    </row>
    <row r="332" spans="1:19" ht="11.25">
      <c r="A332" s="45" t="s">
        <v>89</v>
      </c>
      <c r="B332" s="23" t="s">
        <v>61</v>
      </c>
      <c r="C332" s="59">
        <f>C9+C17</f>
        <v>2519262.409</v>
      </c>
      <c r="D332" s="59">
        <f aca="true" t="shared" si="76" ref="D332:O332">D9+D17</f>
        <v>2415425.535</v>
      </c>
      <c r="E332" s="59">
        <f t="shared" si="76"/>
        <v>1335251.607</v>
      </c>
      <c r="F332" s="59">
        <f t="shared" si="76"/>
        <v>1080389.8620000002</v>
      </c>
      <c r="G332" s="59">
        <f t="shared" si="76"/>
        <v>1060944.527</v>
      </c>
      <c r="H332" s="59">
        <f t="shared" si="76"/>
        <v>1084310.262</v>
      </c>
      <c r="I332" s="59">
        <f t="shared" si="76"/>
        <v>2231974.862</v>
      </c>
      <c r="J332" s="59">
        <f t="shared" si="76"/>
        <v>2133257.103</v>
      </c>
      <c r="K332" s="59">
        <f t="shared" si="76"/>
        <v>1952851.305</v>
      </c>
      <c r="L332" s="59">
        <f t="shared" si="76"/>
        <v>1950422.1269999999</v>
      </c>
      <c r="M332" s="59">
        <f t="shared" si="76"/>
        <v>1777894.8879999998</v>
      </c>
      <c r="N332" s="59">
        <f t="shared" si="76"/>
        <v>1788986.454</v>
      </c>
      <c r="O332" s="33">
        <f t="shared" si="76"/>
        <v>21330970.941</v>
      </c>
      <c r="P332" s="85">
        <f>SUM(C332:N332)-O332</f>
        <v>0</v>
      </c>
      <c r="Q332" s="86"/>
      <c r="R332" s="109">
        <v>21330971</v>
      </c>
      <c r="S332" s="211">
        <f>ROUND(O332-R332,0)</f>
        <v>0</v>
      </c>
    </row>
    <row r="333" spans="1:19" ht="11.25">
      <c r="A333" s="45" t="s">
        <v>90</v>
      </c>
      <c r="B333" s="23" t="s">
        <v>61</v>
      </c>
      <c r="C333" s="59">
        <f>C12</f>
        <v>2164955.2</v>
      </c>
      <c r="D333" s="59">
        <f aca="true" t="shared" si="77" ref="D333:O333">D12</f>
        <v>2164955.2</v>
      </c>
      <c r="E333" s="59">
        <f t="shared" si="77"/>
        <v>2095115.4</v>
      </c>
      <c r="F333" s="59">
        <f t="shared" si="77"/>
        <v>2164955.2</v>
      </c>
      <c r="G333" s="59">
        <f t="shared" si="77"/>
        <v>2095115.4</v>
      </c>
      <c r="H333" s="59">
        <f t="shared" si="77"/>
        <v>2164955.2</v>
      </c>
      <c r="I333" s="59">
        <f t="shared" si="77"/>
        <v>2164955.2</v>
      </c>
      <c r="J333" s="59">
        <f t="shared" si="77"/>
        <v>1955435.2</v>
      </c>
      <c r="K333" s="59">
        <f t="shared" si="77"/>
        <v>2164955.2</v>
      </c>
      <c r="L333" s="59">
        <f t="shared" si="77"/>
        <v>2095115.4</v>
      </c>
      <c r="M333" s="59">
        <f t="shared" si="77"/>
        <v>2164955.2</v>
      </c>
      <c r="N333" s="59">
        <f t="shared" si="77"/>
        <v>2095115.4</v>
      </c>
      <c r="O333" s="33">
        <f t="shared" si="77"/>
        <v>25490583.199999996</v>
      </c>
      <c r="P333" s="85">
        <f>SUM(C333:N333)-O333</f>
        <v>0</v>
      </c>
      <c r="Q333" s="86"/>
      <c r="R333" s="109">
        <v>25490583</v>
      </c>
      <c r="S333" s="211">
        <f>ROUND(O333-R333,0)</f>
        <v>0</v>
      </c>
    </row>
    <row r="334" spans="1:19" ht="11.25">
      <c r="A334" s="45" t="s">
        <v>62</v>
      </c>
      <c r="B334" s="23" t="s">
        <v>61</v>
      </c>
      <c r="C334" s="59">
        <f>SUM(C10:C11)+SUM(C13:C16)+C18+C29+C39</f>
        <v>29111703.4342</v>
      </c>
      <c r="D334" s="59">
        <f aca="true" t="shared" si="78" ref="D334:O334">SUM(D10:D11)+SUM(D13:D16)+D18+D29+D39</f>
        <v>35191072.864199996</v>
      </c>
      <c r="E334" s="59">
        <f t="shared" si="78"/>
        <v>36876820.0405</v>
      </c>
      <c r="F334" s="59">
        <f t="shared" si="78"/>
        <v>44701192.934200004</v>
      </c>
      <c r="G334" s="59">
        <f t="shared" si="78"/>
        <v>44401732.8005</v>
      </c>
      <c r="H334" s="59">
        <f t="shared" si="78"/>
        <v>52771014.6542</v>
      </c>
      <c r="I334" s="59">
        <f t="shared" si="78"/>
        <v>42013009.1942</v>
      </c>
      <c r="J334" s="59">
        <f t="shared" si="78"/>
        <v>37257127.0782</v>
      </c>
      <c r="K334" s="59">
        <f t="shared" si="78"/>
        <v>38480594.584199995</v>
      </c>
      <c r="L334" s="59">
        <f t="shared" si="78"/>
        <v>29670050.2555</v>
      </c>
      <c r="M334" s="59">
        <f t="shared" si="78"/>
        <v>23763177.0242</v>
      </c>
      <c r="N334" s="59">
        <f t="shared" si="78"/>
        <v>27563803.476499997</v>
      </c>
      <c r="O334" s="33">
        <f t="shared" si="78"/>
        <v>441801298.3406</v>
      </c>
      <c r="P334" s="85">
        <f>SUM(C334:N334)-O334</f>
        <v>0</v>
      </c>
      <c r="Q334" s="86"/>
      <c r="R334" s="109">
        <v>442679035</v>
      </c>
      <c r="S334" s="211">
        <f>ROUND(O334-R334,0)</f>
        <v>-877737</v>
      </c>
    </row>
    <row r="335" spans="1:19" ht="11.25">
      <c r="A335" s="46" t="s">
        <v>23</v>
      </c>
      <c r="B335" s="27" t="s">
        <v>63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101">
        <v>0</v>
      </c>
      <c r="P335" s="85">
        <f>SUM(C335:N335)-O335</f>
        <v>0</v>
      </c>
      <c r="Q335" s="86"/>
      <c r="R335" s="101"/>
      <c r="S335" s="212"/>
    </row>
    <row r="336" spans="1:19" ht="11.25">
      <c r="A336" s="98" t="s">
        <v>232</v>
      </c>
      <c r="B336" s="99"/>
      <c r="C336" s="78">
        <f aca="true" t="shared" si="79" ref="C336:N336">SUM(C332:C335)</f>
        <v>33795921.0432</v>
      </c>
      <c r="D336" s="78">
        <f t="shared" si="79"/>
        <v>39771453.599199995</v>
      </c>
      <c r="E336" s="78">
        <f t="shared" si="79"/>
        <v>40307187.0475</v>
      </c>
      <c r="F336" s="78">
        <f t="shared" si="79"/>
        <v>47946537.9962</v>
      </c>
      <c r="G336" s="78">
        <f t="shared" si="79"/>
        <v>47557792.7275</v>
      </c>
      <c r="H336" s="78">
        <f t="shared" si="79"/>
        <v>56020280.1162</v>
      </c>
      <c r="I336" s="78">
        <f t="shared" si="79"/>
        <v>46409939.2562</v>
      </c>
      <c r="J336" s="78">
        <f t="shared" si="79"/>
        <v>41345819.3812</v>
      </c>
      <c r="K336" s="78">
        <f t="shared" si="79"/>
        <v>42598401.0892</v>
      </c>
      <c r="L336" s="78">
        <f t="shared" si="79"/>
        <v>33715587.7825</v>
      </c>
      <c r="M336" s="78">
        <f t="shared" si="79"/>
        <v>27706027.1122</v>
      </c>
      <c r="N336" s="78">
        <f t="shared" si="79"/>
        <v>31447905.330499995</v>
      </c>
      <c r="O336" s="39">
        <f>SUM(O332:O335)</f>
        <v>488622852.4816</v>
      </c>
      <c r="P336" s="85">
        <f>SUM(C336:N336)-O336</f>
        <v>0</v>
      </c>
      <c r="Q336" s="86"/>
      <c r="R336" s="39">
        <f>SUM(R332:R335)</f>
        <v>489500589</v>
      </c>
      <c r="S336" s="213">
        <f>ROUND(O336-R336,0)</f>
        <v>-877737</v>
      </c>
    </row>
    <row r="337" spans="1:19" ht="11.25">
      <c r="A337" s="4"/>
      <c r="B337" s="11"/>
      <c r="O337" s="102"/>
      <c r="Q337" s="86"/>
      <c r="R337" s="102"/>
      <c r="S337" s="212"/>
    </row>
    <row r="338" spans="1:19" ht="11.25">
      <c r="A338" s="107" t="s">
        <v>2</v>
      </c>
      <c r="B338" s="23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102"/>
      <c r="P338" s="85">
        <f>SUM(C237:N237)-O237</f>
        <v>0</v>
      </c>
      <c r="Q338" s="86"/>
      <c r="R338" s="102"/>
      <c r="S338" s="212"/>
    </row>
    <row r="339" spans="1:19" ht="11.25">
      <c r="A339" s="47" t="s">
        <v>14</v>
      </c>
      <c r="B339" s="23" t="s">
        <v>61</v>
      </c>
      <c r="C339" s="59">
        <f aca="true" t="shared" si="80" ref="C339:O339">C237+C240+C243+C246+C250+C128</f>
        <v>5961374.017819953</v>
      </c>
      <c r="D339" s="59">
        <f t="shared" si="80"/>
        <v>5916951.323731856</v>
      </c>
      <c r="E339" s="59">
        <f t="shared" si="80"/>
        <v>1042350.5603340247</v>
      </c>
      <c r="F339" s="59">
        <f t="shared" si="80"/>
        <v>713421.7023276587</v>
      </c>
      <c r="G339" s="59">
        <f t="shared" si="80"/>
        <v>581728.3611782596</v>
      </c>
      <c r="H339" s="59">
        <f t="shared" si="80"/>
        <v>640975.1647384905</v>
      </c>
      <c r="I339" s="59">
        <f t="shared" si="80"/>
        <v>310114.54011695774</v>
      </c>
      <c r="J339" s="59">
        <f t="shared" si="80"/>
        <v>291603.14522594475</v>
      </c>
      <c r="K339" s="59">
        <f t="shared" si="80"/>
        <v>340311.01108212443</v>
      </c>
      <c r="L339" s="59">
        <f t="shared" si="80"/>
        <v>390593.6753430788</v>
      </c>
      <c r="M339" s="59">
        <f t="shared" si="80"/>
        <v>439146.67535938683</v>
      </c>
      <c r="N339" s="59">
        <f t="shared" si="80"/>
        <v>421565.25394933013</v>
      </c>
      <c r="O339" s="33">
        <f t="shared" si="80"/>
        <v>17050135.431207065</v>
      </c>
      <c r="P339" s="85">
        <f aca="true" t="shared" si="81" ref="P339:P354">SUM(C339:N339)-O339</f>
        <v>0</v>
      </c>
      <c r="Q339" s="86"/>
      <c r="R339" s="109">
        <v>17050135</v>
      </c>
      <c r="S339" s="211">
        <f>ROUND(O339-R339,0)</f>
        <v>0</v>
      </c>
    </row>
    <row r="340" spans="1:19" ht="11.25">
      <c r="A340" s="47" t="s">
        <v>15</v>
      </c>
      <c r="B340" s="23" t="s">
        <v>61</v>
      </c>
      <c r="C340" s="59">
        <f aca="true" t="shared" si="82" ref="C340:O340">C253+C257+C57</f>
        <v>4145821.537152192</v>
      </c>
      <c r="D340" s="59">
        <f t="shared" si="82"/>
        <v>4098837.876110427</v>
      </c>
      <c r="E340" s="59">
        <f t="shared" si="82"/>
        <v>3977972.3403869355</v>
      </c>
      <c r="F340" s="59">
        <f t="shared" si="82"/>
        <v>3786454.643698757</v>
      </c>
      <c r="G340" s="59">
        <f t="shared" si="82"/>
        <v>3934092.1881797044</v>
      </c>
      <c r="H340" s="59">
        <f t="shared" si="82"/>
        <v>4024380.2738432656</v>
      </c>
      <c r="I340" s="59">
        <f t="shared" si="82"/>
        <v>4034517.568539302</v>
      </c>
      <c r="J340" s="59">
        <f t="shared" si="82"/>
        <v>3765593.8348063687</v>
      </c>
      <c r="K340" s="59">
        <f t="shared" si="82"/>
        <v>4024882.026626843</v>
      </c>
      <c r="L340" s="59">
        <f t="shared" si="82"/>
        <v>3313975.4400953227</v>
      </c>
      <c r="M340" s="59">
        <f t="shared" si="82"/>
        <v>3898929.0216176934</v>
      </c>
      <c r="N340" s="59">
        <f t="shared" si="82"/>
        <v>4086372.058298086</v>
      </c>
      <c r="O340" s="33">
        <f t="shared" si="82"/>
        <v>47091828.80935489</v>
      </c>
      <c r="P340" s="85">
        <f t="shared" si="81"/>
        <v>0</v>
      </c>
      <c r="Q340" s="86"/>
      <c r="R340" s="109">
        <v>47091829</v>
      </c>
      <c r="S340" s="211">
        <f>ROUND(O340-R340,0)</f>
        <v>0</v>
      </c>
    </row>
    <row r="341" spans="1:19" ht="11.25">
      <c r="A341" s="47" t="s">
        <v>16</v>
      </c>
      <c r="B341" s="23" t="s">
        <v>63</v>
      </c>
      <c r="C341" s="59">
        <f aca="true" t="shared" si="83" ref="C341:O341">C238+C241+C244+C247+C251+C254+C258+C52+C69+C70</f>
        <v>5237995.164792803</v>
      </c>
      <c r="D341" s="59">
        <f t="shared" si="83"/>
        <v>5207359.457116978</v>
      </c>
      <c r="E341" s="59">
        <f t="shared" si="83"/>
        <v>5035310.422561478</v>
      </c>
      <c r="F341" s="59">
        <f t="shared" si="83"/>
        <v>4045993.5935188835</v>
      </c>
      <c r="G341" s="59">
        <f t="shared" si="83"/>
        <v>3871660.856819806</v>
      </c>
      <c r="H341" s="59">
        <f t="shared" si="83"/>
        <v>4198856.334460258</v>
      </c>
      <c r="I341" s="59">
        <f t="shared" si="83"/>
        <v>2455770.028741196</v>
      </c>
      <c r="J341" s="59">
        <f t="shared" si="83"/>
        <v>2315274.074212958</v>
      </c>
      <c r="K341" s="59">
        <f t="shared" si="83"/>
        <v>2526671.429619856</v>
      </c>
      <c r="L341" s="59">
        <f t="shared" si="83"/>
        <v>2394116.7064943695</v>
      </c>
      <c r="M341" s="59">
        <f t="shared" si="83"/>
        <v>2775607.9080321174</v>
      </c>
      <c r="N341" s="59">
        <f t="shared" si="83"/>
        <v>2806746.1406649784</v>
      </c>
      <c r="O341" s="33">
        <f t="shared" si="83"/>
        <v>42871362.11703568</v>
      </c>
      <c r="P341" s="85">
        <f t="shared" si="81"/>
        <v>0</v>
      </c>
      <c r="Q341" s="86"/>
      <c r="R341" s="109">
        <v>42871362</v>
      </c>
      <c r="S341" s="211">
        <f>ROUND(O341-R341,0)</f>
        <v>0</v>
      </c>
    </row>
    <row r="342" spans="1:19" ht="11.25">
      <c r="A342" s="47" t="s">
        <v>13</v>
      </c>
      <c r="B342" s="23" t="s">
        <v>61</v>
      </c>
      <c r="C342" s="59">
        <f aca="true" t="shared" si="84" ref="C342:O342">C248+C255+C260+SUM(C89:C102)+SUM(C104:C106)</f>
        <v>49090855.85159984</v>
      </c>
      <c r="D342" s="59">
        <f t="shared" si="84"/>
        <v>45732014.8155941</v>
      </c>
      <c r="E342" s="59">
        <f t="shared" si="84"/>
        <v>33373472.12520929</v>
      </c>
      <c r="F342" s="59">
        <f t="shared" si="84"/>
        <v>34428164.15803211</v>
      </c>
      <c r="G342" s="59">
        <f t="shared" si="84"/>
        <v>30666557.515557893</v>
      </c>
      <c r="H342" s="59">
        <f t="shared" si="84"/>
        <v>39548412.47983834</v>
      </c>
      <c r="I342" s="59">
        <f t="shared" si="84"/>
        <v>46436256.266444795</v>
      </c>
      <c r="J342" s="59">
        <f t="shared" si="84"/>
        <v>46217607.40671664</v>
      </c>
      <c r="K342" s="59">
        <f t="shared" si="84"/>
        <v>52280826.40366945</v>
      </c>
      <c r="L342" s="59">
        <f t="shared" si="84"/>
        <v>56556350.88979343</v>
      </c>
      <c r="M342" s="59">
        <f t="shared" si="84"/>
        <v>49306495.82701702</v>
      </c>
      <c r="N342" s="59">
        <f t="shared" si="84"/>
        <v>45097220.34864846</v>
      </c>
      <c r="O342" s="33">
        <f t="shared" si="84"/>
        <v>528734234.08812135</v>
      </c>
      <c r="P342" s="85">
        <f t="shared" si="81"/>
        <v>0</v>
      </c>
      <c r="Q342" s="86"/>
      <c r="R342" s="109">
        <v>527437131</v>
      </c>
      <c r="S342" s="211">
        <f>ROUND(O342-R342,0)</f>
        <v>1297103</v>
      </c>
    </row>
    <row r="343" spans="1:19" ht="11.25">
      <c r="A343" s="47" t="s">
        <v>17</v>
      </c>
      <c r="B343" s="23" t="s">
        <v>63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103">
        <v>0</v>
      </c>
      <c r="P343" s="85">
        <f t="shared" si="81"/>
        <v>0</v>
      </c>
      <c r="Q343" s="86"/>
      <c r="R343" s="103"/>
      <c r="S343" s="212"/>
    </row>
    <row r="344" spans="1:19" ht="11.25">
      <c r="A344" s="47" t="s">
        <v>3</v>
      </c>
      <c r="B344" s="23" t="s">
        <v>61</v>
      </c>
      <c r="C344" s="59">
        <f aca="true" t="shared" si="85" ref="C344:N344">C78</f>
        <v>0</v>
      </c>
      <c r="D344" s="59">
        <f t="shared" si="85"/>
        <v>0</v>
      </c>
      <c r="E344" s="59">
        <f t="shared" si="85"/>
        <v>0</v>
      </c>
      <c r="F344" s="59">
        <f t="shared" si="85"/>
        <v>0</v>
      </c>
      <c r="G344" s="59">
        <f t="shared" si="85"/>
        <v>0</v>
      </c>
      <c r="H344" s="59">
        <f t="shared" si="85"/>
        <v>0</v>
      </c>
      <c r="I344" s="59">
        <f t="shared" si="85"/>
        <v>0</v>
      </c>
      <c r="J344" s="59">
        <f t="shared" si="85"/>
        <v>0</v>
      </c>
      <c r="K344" s="59">
        <f t="shared" si="85"/>
        <v>0</v>
      </c>
      <c r="L344" s="59">
        <f t="shared" si="85"/>
        <v>0</v>
      </c>
      <c r="M344" s="59">
        <f t="shared" si="85"/>
        <v>0</v>
      </c>
      <c r="N344" s="59">
        <f t="shared" si="85"/>
        <v>0</v>
      </c>
      <c r="O344" s="33">
        <f>O78</f>
        <v>0</v>
      </c>
      <c r="P344" s="85">
        <f t="shared" si="81"/>
        <v>0</v>
      </c>
      <c r="Q344" s="86"/>
      <c r="R344" s="33"/>
      <c r="S344" s="212"/>
    </row>
    <row r="345" spans="1:19" ht="11.25">
      <c r="A345" s="47" t="s">
        <v>88</v>
      </c>
      <c r="B345" s="23" t="s">
        <v>61</v>
      </c>
      <c r="C345" s="59">
        <f aca="true" t="shared" si="86" ref="C345:N345">C201</f>
        <v>260040.52115123035</v>
      </c>
      <c r="D345" s="59">
        <f t="shared" si="86"/>
        <v>260353.62973962713</v>
      </c>
      <c r="E345" s="59">
        <f t="shared" si="86"/>
        <v>273734.621364744</v>
      </c>
      <c r="F345" s="59">
        <f t="shared" si="86"/>
        <v>326812.249262088</v>
      </c>
      <c r="G345" s="59">
        <f t="shared" si="86"/>
        <v>385351.5655572479</v>
      </c>
      <c r="H345" s="59">
        <f t="shared" si="86"/>
        <v>415489.4347215744</v>
      </c>
      <c r="I345" s="59">
        <f t="shared" si="86"/>
        <v>426636.2584322299</v>
      </c>
      <c r="J345" s="59">
        <f t="shared" si="86"/>
        <v>350486.44199498993</v>
      </c>
      <c r="K345" s="59">
        <f t="shared" si="86"/>
        <v>388453.405210696</v>
      </c>
      <c r="L345" s="59">
        <f t="shared" si="86"/>
        <v>318217.01673770393</v>
      </c>
      <c r="M345" s="59">
        <f t="shared" si="86"/>
        <v>305701.921274498</v>
      </c>
      <c r="N345" s="59">
        <f t="shared" si="86"/>
        <v>280084.598317538</v>
      </c>
      <c r="O345" s="33">
        <f>O201</f>
        <v>3991361.663764167</v>
      </c>
      <c r="P345" s="85">
        <f t="shared" si="81"/>
        <v>0</v>
      </c>
      <c r="Q345" s="86"/>
      <c r="R345" s="109">
        <v>3991362</v>
      </c>
      <c r="S345" s="211">
        <f>ROUND(O345-R345,0)</f>
        <v>0</v>
      </c>
    </row>
    <row r="346" spans="1:19" ht="11.25">
      <c r="A346" s="48" t="s">
        <v>4</v>
      </c>
      <c r="B346" s="27" t="s">
        <v>83</v>
      </c>
      <c r="C346" s="77">
        <v>0</v>
      </c>
      <c r="D346" s="77">
        <v>0</v>
      </c>
      <c r="E346" s="77">
        <v>0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101">
        <v>0</v>
      </c>
      <c r="P346" s="85">
        <f t="shared" si="81"/>
        <v>0</v>
      </c>
      <c r="Q346" s="86"/>
      <c r="R346" s="101"/>
      <c r="S346" s="212"/>
    </row>
    <row r="347" spans="1:19" ht="11.25">
      <c r="A347" s="100" t="s">
        <v>233</v>
      </c>
      <c r="B347" s="99"/>
      <c r="C347" s="78">
        <f aca="true" t="shared" si="87" ref="C347:N347">SUM(C339:C346)</f>
        <v>64696087.09251602</v>
      </c>
      <c r="D347" s="78">
        <f t="shared" si="87"/>
        <v>61215517.102292985</v>
      </c>
      <c r="E347" s="78">
        <f t="shared" si="87"/>
        <v>43702840.06985647</v>
      </c>
      <c r="F347" s="78">
        <f t="shared" si="87"/>
        <v>43300846.346839495</v>
      </c>
      <c r="G347" s="78">
        <f t="shared" si="87"/>
        <v>39439390.48729291</v>
      </c>
      <c r="H347" s="78">
        <f t="shared" si="87"/>
        <v>48828113.68760193</v>
      </c>
      <c r="I347" s="78">
        <f t="shared" si="87"/>
        <v>53663294.66227448</v>
      </c>
      <c r="J347" s="78">
        <f t="shared" si="87"/>
        <v>52940564.902956896</v>
      </c>
      <c r="K347" s="78">
        <f t="shared" si="87"/>
        <v>59561144.27620897</v>
      </c>
      <c r="L347" s="78">
        <f t="shared" si="87"/>
        <v>62973253.72846391</v>
      </c>
      <c r="M347" s="78">
        <f t="shared" si="87"/>
        <v>56725881.35330071</v>
      </c>
      <c r="N347" s="78">
        <f t="shared" si="87"/>
        <v>52691988.39987839</v>
      </c>
      <c r="O347" s="39">
        <f>SUM(O339:O346)</f>
        <v>639738922.1094831</v>
      </c>
      <c r="P347" s="85">
        <f t="shared" si="81"/>
        <v>0</v>
      </c>
      <c r="R347" s="39">
        <f>SUM(R339:R346)</f>
        <v>638441819</v>
      </c>
      <c r="S347" s="213">
        <f>ROUND(O347-R347,0)</f>
        <v>1297103</v>
      </c>
    </row>
    <row r="348" spans="1:19" ht="11.25">
      <c r="A348" s="4"/>
      <c r="B348" s="11"/>
      <c r="O348" s="33"/>
      <c r="R348" s="33"/>
      <c r="S348" s="212"/>
    </row>
    <row r="349" spans="1:19" ht="11.25">
      <c r="A349" s="107" t="s">
        <v>18</v>
      </c>
      <c r="B349" s="23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33"/>
      <c r="P349" s="85"/>
      <c r="R349" s="33"/>
      <c r="S349" s="212"/>
    </row>
    <row r="350" spans="1:19" ht="11.25">
      <c r="A350" s="47" t="s">
        <v>11</v>
      </c>
      <c r="B350" s="23" t="s">
        <v>61</v>
      </c>
      <c r="C350" s="194">
        <f aca="true" t="shared" si="88" ref="C350:O351">C317</f>
        <v>2230634.2446042513</v>
      </c>
      <c r="D350" s="59">
        <f t="shared" si="88"/>
        <v>2234487.2246042513</v>
      </c>
      <c r="E350" s="59">
        <f t="shared" si="88"/>
        <v>2233535.9946042513</v>
      </c>
      <c r="F350" s="59">
        <f t="shared" si="88"/>
        <v>2247525.544604251</v>
      </c>
      <c r="G350" s="59">
        <f t="shared" si="88"/>
        <v>2238880.584604251</v>
      </c>
      <c r="H350" s="59">
        <f t="shared" si="88"/>
        <v>2302774.334604251</v>
      </c>
      <c r="I350" s="59">
        <f t="shared" si="88"/>
        <v>2274857.924604251</v>
      </c>
      <c r="J350" s="59">
        <f t="shared" si="88"/>
        <v>2265299.014604251</v>
      </c>
      <c r="K350" s="59">
        <f t="shared" si="88"/>
        <v>2277176.9946042513</v>
      </c>
      <c r="L350" s="59">
        <f t="shared" si="88"/>
        <v>2253027.544604251</v>
      </c>
      <c r="M350" s="59">
        <f t="shared" si="88"/>
        <v>2241285.8246042514</v>
      </c>
      <c r="N350" s="59">
        <f t="shared" si="88"/>
        <v>2234873.724604251</v>
      </c>
      <c r="O350" s="33">
        <f t="shared" si="88"/>
        <v>27034358.955251016</v>
      </c>
      <c r="P350" s="85">
        <f t="shared" si="81"/>
        <v>0</v>
      </c>
      <c r="R350" s="109">
        <v>27034359</v>
      </c>
      <c r="S350" s="211">
        <f>ROUND(O350-R350,0)</f>
        <v>0</v>
      </c>
    </row>
    <row r="351" spans="1:19" ht="11.25">
      <c r="A351" s="47" t="s">
        <v>12</v>
      </c>
      <c r="B351" s="23" t="s">
        <v>61</v>
      </c>
      <c r="C351" s="194">
        <f t="shared" si="88"/>
        <v>0</v>
      </c>
      <c r="D351" s="59">
        <f t="shared" si="88"/>
        <v>0</v>
      </c>
      <c r="E351" s="59">
        <f t="shared" si="88"/>
        <v>0</v>
      </c>
      <c r="F351" s="59">
        <f t="shared" si="88"/>
        <v>0</v>
      </c>
      <c r="G351" s="59">
        <f t="shared" si="88"/>
        <v>0</v>
      </c>
      <c r="H351" s="59">
        <f t="shared" si="88"/>
        <v>0</v>
      </c>
      <c r="I351" s="59">
        <f t="shared" si="88"/>
        <v>0</v>
      </c>
      <c r="J351" s="59">
        <f t="shared" si="88"/>
        <v>0</v>
      </c>
      <c r="K351" s="59">
        <f t="shared" si="88"/>
        <v>0</v>
      </c>
      <c r="L351" s="59">
        <f t="shared" si="88"/>
        <v>0</v>
      </c>
      <c r="M351" s="59">
        <f t="shared" si="88"/>
        <v>0</v>
      </c>
      <c r="N351" s="59">
        <f t="shared" si="88"/>
        <v>0</v>
      </c>
      <c r="O351" s="33">
        <f t="shared" si="88"/>
        <v>0</v>
      </c>
      <c r="P351" s="85">
        <f t="shared" si="81"/>
        <v>0</v>
      </c>
      <c r="R351" s="33"/>
      <c r="S351" s="211">
        <f>ROUND(O351-R351,0)</f>
        <v>0</v>
      </c>
    </row>
    <row r="352" spans="1:19" ht="11.25">
      <c r="A352" s="47" t="s">
        <v>13</v>
      </c>
      <c r="B352" s="23" t="s">
        <v>61</v>
      </c>
      <c r="C352" s="194">
        <f aca="true" t="shared" si="89" ref="C352:O352">C319+C321-C323</f>
        <v>8671679.42539575</v>
      </c>
      <c r="D352" s="59">
        <f t="shared" si="89"/>
        <v>8666619.48039575</v>
      </c>
      <c r="E352" s="59">
        <f t="shared" si="89"/>
        <v>8507151.93539575</v>
      </c>
      <c r="F352" s="59">
        <f t="shared" si="89"/>
        <v>8593522.825395748</v>
      </c>
      <c r="G352" s="59">
        <f t="shared" si="89"/>
        <v>9142075.16539575</v>
      </c>
      <c r="H352" s="59">
        <f t="shared" si="89"/>
        <v>9746232.655395748</v>
      </c>
      <c r="I352" s="59">
        <f t="shared" si="89"/>
        <v>9149738.545395749</v>
      </c>
      <c r="J352" s="59">
        <f t="shared" si="89"/>
        <v>9202186.94539575</v>
      </c>
      <c r="K352" s="59">
        <f t="shared" si="89"/>
        <v>9016564.435395751</v>
      </c>
      <c r="L352" s="59">
        <f t="shared" si="89"/>
        <v>9173152.605395747</v>
      </c>
      <c r="M352" s="59">
        <f t="shared" si="89"/>
        <v>8635586.97539575</v>
      </c>
      <c r="N352" s="59">
        <f t="shared" si="89"/>
        <v>8671705.77539575</v>
      </c>
      <c r="O352" s="33">
        <f t="shared" si="89"/>
        <v>107176216.76974902</v>
      </c>
      <c r="P352" s="85">
        <f t="shared" si="81"/>
        <v>0</v>
      </c>
      <c r="R352" s="109">
        <v>107176211</v>
      </c>
      <c r="S352" s="211">
        <f>ROUND(O352-R352,0)</f>
        <v>6</v>
      </c>
    </row>
    <row r="353" spans="1:19" ht="11.25">
      <c r="A353" s="48" t="s">
        <v>0</v>
      </c>
      <c r="B353" s="27" t="s">
        <v>63</v>
      </c>
      <c r="C353" s="196">
        <f aca="true" t="shared" si="90" ref="C353:O353">C320</f>
        <v>91315.05499999996</v>
      </c>
      <c r="D353" s="77">
        <f t="shared" si="90"/>
        <v>288756.19200000004</v>
      </c>
      <c r="E353" s="77">
        <f t="shared" si="90"/>
        <v>777797.4730000001</v>
      </c>
      <c r="F353" s="77">
        <f t="shared" si="90"/>
        <v>331324.236</v>
      </c>
      <c r="G353" s="77">
        <f t="shared" si="90"/>
        <v>183654.105</v>
      </c>
      <c r="H353" s="77">
        <f t="shared" si="90"/>
        <v>386252.319</v>
      </c>
      <c r="I353" s="77">
        <f t="shared" si="90"/>
        <v>500493.076</v>
      </c>
      <c r="J353" s="77">
        <f t="shared" si="90"/>
        <v>358711.43000000005</v>
      </c>
      <c r="K353" s="77">
        <f t="shared" si="90"/>
        <v>532729.5869999999</v>
      </c>
      <c r="L353" s="77">
        <f t="shared" si="90"/>
        <v>359803.46499999997</v>
      </c>
      <c r="M353" s="77">
        <f t="shared" si="90"/>
        <v>263891.561</v>
      </c>
      <c r="N353" s="77">
        <f t="shared" si="90"/>
        <v>435596.973</v>
      </c>
      <c r="O353" s="104">
        <f t="shared" si="90"/>
        <v>4510325.472</v>
      </c>
      <c r="P353" s="85">
        <f t="shared" si="81"/>
        <v>0</v>
      </c>
      <c r="R353" s="153">
        <v>4510325</v>
      </c>
      <c r="S353" s="211">
        <f>ROUND(O353-R353,0)</f>
        <v>0</v>
      </c>
    </row>
    <row r="354" spans="1:19" ht="11.25">
      <c r="A354" s="100" t="s">
        <v>234</v>
      </c>
      <c r="B354" s="99"/>
      <c r="C354" s="197">
        <f aca="true" t="shared" si="91" ref="C354:N354">SUM(C350:C353)</f>
        <v>10993628.725000001</v>
      </c>
      <c r="D354" s="78">
        <f t="shared" si="91"/>
        <v>11189862.897</v>
      </c>
      <c r="E354" s="78">
        <f t="shared" si="91"/>
        <v>11518485.402999999</v>
      </c>
      <c r="F354" s="78">
        <f t="shared" si="91"/>
        <v>11172372.605999999</v>
      </c>
      <c r="G354" s="78">
        <f t="shared" si="91"/>
        <v>11564609.855</v>
      </c>
      <c r="H354" s="78">
        <f t="shared" si="91"/>
        <v>12435259.308999998</v>
      </c>
      <c r="I354" s="78">
        <f t="shared" si="91"/>
        <v>11925089.545999998</v>
      </c>
      <c r="J354" s="78">
        <f t="shared" si="91"/>
        <v>11826197.39</v>
      </c>
      <c r="K354" s="78">
        <f t="shared" si="91"/>
        <v>11826471.017000003</v>
      </c>
      <c r="L354" s="78">
        <f t="shared" si="91"/>
        <v>11785983.614999998</v>
      </c>
      <c r="M354" s="78">
        <f t="shared" si="91"/>
        <v>11140764.361000001</v>
      </c>
      <c r="N354" s="78">
        <f t="shared" si="91"/>
        <v>11342176.473</v>
      </c>
      <c r="O354" s="39">
        <f>SUM(O350:O353)</f>
        <v>138720901.19700003</v>
      </c>
      <c r="P354" s="85">
        <f t="shared" si="81"/>
        <v>0</v>
      </c>
      <c r="R354" s="39">
        <f>SUM(R350:R353)</f>
        <v>138720895</v>
      </c>
      <c r="S354" s="213">
        <f>ROUND(O354-R354,0)</f>
        <v>6</v>
      </c>
    </row>
    <row r="355" spans="1:19" ht="11.25">
      <c r="A355" s="4"/>
      <c r="B355" s="11"/>
      <c r="C355" s="198"/>
      <c r="O355" s="33"/>
      <c r="R355" s="33"/>
      <c r="S355" s="212"/>
    </row>
    <row r="356" spans="1:19" ht="11.25">
      <c r="A356" s="107" t="s">
        <v>10</v>
      </c>
      <c r="B356" s="23"/>
      <c r="C356" s="129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33"/>
      <c r="R356" s="33"/>
      <c r="S356" s="212"/>
    </row>
    <row r="357" spans="1:19" ht="11.25">
      <c r="A357" s="47" t="s">
        <v>19</v>
      </c>
      <c r="B357" s="23" t="s">
        <v>63</v>
      </c>
      <c r="C357" s="59">
        <f>C279+SUM(C281:C289)</f>
        <v>58763266.52985861</v>
      </c>
      <c r="D357" s="59">
        <f aca="true" t="shared" si="92" ref="D357:N357">D279+SUM(D281:D289)</f>
        <v>60681590.19998801</v>
      </c>
      <c r="E357" s="59">
        <f t="shared" si="92"/>
        <v>57907127.434146</v>
      </c>
      <c r="F357" s="59">
        <f t="shared" si="92"/>
        <v>58830850.40002565</v>
      </c>
      <c r="G357" s="59">
        <f t="shared" si="92"/>
        <v>57489267.63971082</v>
      </c>
      <c r="H357" s="59">
        <f t="shared" si="92"/>
        <v>59138986.64103514</v>
      </c>
      <c r="I357" s="59">
        <f t="shared" si="92"/>
        <v>58608214.706956446</v>
      </c>
      <c r="J357" s="59">
        <f t="shared" si="92"/>
        <v>55608620.76358938</v>
      </c>
      <c r="K357" s="59">
        <f t="shared" si="92"/>
        <v>55398621.48825406</v>
      </c>
      <c r="L357" s="59">
        <f t="shared" si="92"/>
        <v>48350764.37918341</v>
      </c>
      <c r="M357" s="59">
        <f t="shared" si="92"/>
        <v>52827194.45184897</v>
      </c>
      <c r="N357" s="59">
        <f t="shared" si="92"/>
        <v>53947183.75882743</v>
      </c>
      <c r="O357" s="33">
        <f>O279+SUM(O281:O289)</f>
        <v>677551688.3934238</v>
      </c>
      <c r="P357" s="85">
        <f aca="true" t="shared" si="93" ref="P357:P364">SUM(C357:N357)-O357</f>
        <v>0</v>
      </c>
      <c r="R357" s="109">
        <v>677463239</v>
      </c>
      <c r="S357" s="211">
        <f aca="true" t="shared" si="94" ref="S357:S362">ROUND(O357-R357,0)</f>
        <v>88449</v>
      </c>
    </row>
    <row r="358" spans="1:19" ht="11.25">
      <c r="A358" s="47" t="s">
        <v>20</v>
      </c>
      <c r="B358" s="23" t="s">
        <v>63</v>
      </c>
      <c r="C358" s="59">
        <f>C308</f>
        <v>3154893.8705394613</v>
      </c>
      <c r="D358" s="59">
        <f aca="true" t="shared" si="95" ref="D358:O358">D308</f>
        <v>3046774.9213048313</v>
      </c>
      <c r="E358" s="59">
        <f t="shared" si="95"/>
        <v>244735.57732211344</v>
      </c>
      <c r="F358" s="59">
        <f t="shared" si="95"/>
        <v>0</v>
      </c>
      <c r="G358" s="59">
        <f t="shared" si="95"/>
        <v>0</v>
      </c>
      <c r="H358" s="59">
        <f t="shared" si="95"/>
        <v>0</v>
      </c>
      <c r="I358" s="59">
        <f t="shared" si="95"/>
        <v>0</v>
      </c>
      <c r="J358" s="59">
        <f t="shared" si="95"/>
        <v>0</v>
      </c>
      <c r="K358" s="59">
        <f t="shared" si="95"/>
        <v>0</v>
      </c>
      <c r="L358" s="59">
        <f t="shared" si="95"/>
        <v>0</v>
      </c>
      <c r="M358" s="59">
        <f t="shared" si="95"/>
        <v>0</v>
      </c>
      <c r="N358" s="59">
        <f t="shared" si="95"/>
        <v>993880.2413467322</v>
      </c>
      <c r="O358" s="33">
        <f t="shared" si="95"/>
        <v>7440284.610513138</v>
      </c>
      <c r="P358" s="85">
        <f t="shared" si="93"/>
        <v>0</v>
      </c>
      <c r="R358" s="109">
        <v>7431926</v>
      </c>
      <c r="S358" s="211">
        <f t="shared" si="94"/>
        <v>8359</v>
      </c>
    </row>
    <row r="359" spans="1:19" ht="11.25">
      <c r="A359" s="47" t="s">
        <v>21</v>
      </c>
      <c r="B359" s="23" t="s">
        <v>63</v>
      </c>
      <c r="C359" s="59">
        <f aca="true" t="shared" si="96" ref="C359:N359">C200</f>
        <v>306096.54768</v>
      </c>
      <c r="D359" s="59">
        <f t="shared" si="96"/>
        <v>305955.47472</v>
      </c>
      <c r="E359" s="59">
        <f t="shared" si="96"/>
        <v>305655.8688</v>
      </c>
      <c r="F359" s="59">
        <f t="shared" si="96"/>
        <v>325844.68416</v>
      </c>
      <c r="G359" s="59">
        <f t="shared" si="96"/>
        <v>324759.35856</v>
      </c>
      <c r="H359" s="59">
        <f t="shared" si="96"/>
        <v>335641.40376</v>
      </c>
      <c r="I359" s="59">
        <f t="shared" si="96"/>
        <v>335641.40376</v>
      </c>
      <c r="J359" s="59">
        <f t="shared" si="96"/>
        <v>313954.67688</v>
      </c>
      <c r="K359" s="59">
        <f t="shared" si="96"/>
        <v>335641.40376</v>
      </c>
      <c r="L359" s="59">
        <f t="shared" si="96"/>
        <v>168165.79056</v>
      </c>
      <c r="M359" s="59">
        <f t="shared" si="96"/>
        <v>315824.9808</v>
      </c>
      <c r="N359" s="59">
        <f t="shared" si="96"/>
        <v>296174.68272</v>
      </c>
      <c r="O359" s="33">
        <f>O200</f>
        <v>3669356.2761600004</v>
      </c>
      <c r="P359" s="85">
        <f t="shared" si="93"/>
        <v>0</v>
      </c>
      <c r="R359" s="109">
        <v>3669356</v>
      </c>
      <c r="S359" s="211">
        <f t="shared" si="94"/>
        <v>0</v>
      </c>
    </row>
    <row r="360" spans="1:19" ht="11.25">
      <c r="A360" s="47" t="s">
        <v>5</v>
      </c>
      <c r="B360" s="23" t="s">
        <v>63</v>
      </c>
      <c r="C360" s="59">
        <f>SUM(C306:C307)+SUM(C310:C312)</f>
        <v>30130203.783873565</v>
      </c>
      <c r="D360" s="59">
        <f aca="true" t="shared" si="97" ref="D360:O360">SUM(D306:D307)+SUM(D310:D312)</f>
        <v>46718664.426918164</v>
      </c>
      <c r="E360" s="59">
        <f t="shared" si="97"/>
        <v>44816958.700444184</v>
      </c>
      <c r="F360" s="59">
        <f t="shared" si="97"/>
        <v>40414881.41598636</v>
      </c>
      <c r="G360" s="59">
        <f t="shared" si="97"/>
        <v>44756269.12125081</v>
      </c>
      <c r="H360" s="59">
        <f t="shared" si="97"/>
        <v>51994664.07829041</v>
      </c>
      <c r="I360" s="59">
        <f t="shared" si="97"/>
        <v>42681164.25145659</v>
      </c>
      <c r="J360" s="59">
        <f t="shared" si="97"/>
        <v>31796718.532148488</v>
      </c>
      <c r="K360" s="59">
        <f t="shared" si="97"/>
        <v>28964307.69413942</v>
      </c>
      <c r="L360" s="59">
        <f t="shared" si="97"/>
        <v>22713368.159074064</v>
      </c>
      <c r="M360" s="59">
        <f t="shared" si="97"/>
        <v>26171451.426653896</v>
      </c>
      <c r="N360" s="59">
        <f t="shared" si="97"/>
        <v>26486766.5883755</v>
      </c>
      <c r="O360" s="33">
        <f t="shared" si="97"/>
        <v>437645418.1786114</v>
      </c>
      <c r="P360" s="85">
        <f t="shared" si="93"/>
        <v>0</v>
      </c>
      <c r="R360" s="109">
        <v>437641542</v>
      </c>
      <c r="S360" s="211">
        <f t="shared" si="94"/>
        <v>3876</v>
      </c>
    </row>
    <row r="361" spans="1:19" ht="11.25">
      <c r="A361" s="47" t="s">
        <v>6</v>
      </c>
      <c r="B361" s="23" t="s">
        <v>63</v>
      </c>
      <c r="C361" s="59">
        <f>C309</f>
        <v>3144243.4890327053</v>
      </c>
      <c r="D361" s="59">
        <f aca="true" t="shared" si="98" ref="D361:O361">D309</f>
        <v>3066797.122824406</v>
      </c>
      <c r="E361" s="59">
        <f t="shared" si="98"/>
        <v>3144914.2298989594</v>
      </c>
      <c r="F361" s="59">
        <f t="shared" si="98"/>
        <v>2943088.64740716</v>
      </c>
      <c r="G361" s="59">
        <f t="shared" si="98"/>
        <v>3014978.311787312</v>
      </c>
      <c r="H361" s="59">
        <f t="shared" si="98"/>
        <v>3191348.765978072</v>
      </c>
      <c r="I361" s="59">
        <f t="shared" si="98"/>
        <v>3161521.187092651</v>
      </c>
      <c r="J361" s="59">
        <f t="shared" si="98"/>
        <v>2831330.0600651065</v>
      </c>
      <c r="K361" s="59">
        <f t="shared" si="98"/>
        <v>2988003.844423804</v>
      </c>
      <c r="L361" s="59">
        <f t="shared" si="98"/>
        <v>3302916.9742901484</v>
      </c>
      <c r="M361" s="59">
        <f t="shared" si="98"/>
        <v>3890667.748814837</v>
      </c>
      <c r="N361" s="59">
        <f t="shared" si="98"/>
        <v>3674824.3881474975</v>
      </c>
      <c r="O361" s="33">
        <f t="shared" si="98"/>
        <v>38354634.76976266</v>
      </c>
      <c r="P361" s="85">
        <f t="shared" si="93"/>
        <v>0</v>
      </c>
      <c r="R361" s="109">
        <v>38354635</v>
      </c>
      <c r="S361" s="211">
        <f t="shared" si="94"/>
        <v>0</v>
      </c>
    </row>
    <row r="362" spans="1:19" ht="11.25">
      <c r="A362" s="47" t="s">
        <v>7</v>
      </c>
      <c r="B362" s="23" t="s">
        <v>63</v>
      </c>
      <c r="C362" s="59">
        <f>C280</f>
        <v>4980252.811904222</v>
      </c>
      <c r="D362" s="59">
        <f aca="true" t="shared" si="99" ref="D362:O362">D280</f>
        <v>5035459.161958983</v>
      </c>
      <c r="E362" s="59">
        <f t="shared" si="99"/>
        <v>4851465.751716672</v>
      </c>
      <c r="F362" s="59">
        <f t="shared" si="99"/>
        <v>4975230.496347711</v>
      </c>
      <c r="G362" s="59">
        <f t="shared" si="99"/>
        <v>4820025.17711324</v>
      </c>
      <c r="H362" s="59">
        <f t="shared" si="99"/>
        <v>4978081.14609722</v>
      </c>
      <c r="I362" s="59">
        <f t="shared" si="99"/>
        <v>4977825.524582101</v>
      </c>
      <c r="J362" s="59">
        <f t="shared" si="99"/>
        <v>4655943.373985822</v>
      </c>
      <c r="K362" s="59">
        <f t="shared" si="99"/>
        <v>4980099.59840244</v>
      </c>
      <c r="L362" s="59">
        <f t="shared" si="99"/>
        <v>4732219.931250968</v>
      </c>
      <c r="M362" s="59">
        <f t="shared" si="99"/>
        <v>2515009.8847824396</v>
      </c>
      <c r="N362" s="59">
        <f t="shared" si="99"/>
        <v>4717965.729603874</v>
      </c>
      <c r="O362" s="33">
        <f t="shared" si="99"/>
        <v>56219578.58774569</v>
      </c>
      <c r="P362" s="85">
        <f t="shared" si="93"/>
        <v>0</v>
      </c>
      <c r="R362" s="109">
        <v>56222947</v>
      </c>
      <c r="S362" s="211">
        <f t="shared" si="94"/>
        <v>-3368</v>
      </c>
    </row>
    <row r="363" spans="1:19" ht="11.25">
      <c r="A363" s="48" t="s">
        <v>8</v>
      </c>
      <c r="B363" s="27" t="s">
        <v>63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101">
        <v>0</v>
      </c>
      <c r="P363" s="85">
        <f t="shared" si="93"/>
        <v>0</v>
      </c>
      <c r="R363" s="101">
        <v>0</v>
      </c>
      <c r="S363" s="212"/>
    </row>
    <row r="364" spans="1:19" ht="11.25">
      <c r="A364" s="100" t="s">
        <v>22</v>
      </c>
      <c r="B364" s="34"/>
      <c r="C364" s="78">
        <f aca="true" t="shared" si="100" ref="C364:N364">SUM(C357:C363)</f>
        <v>100478957.03288856</v>
      </c>
      <c r="D364" s="78">
        <f t="shared" si="100"/>
        <v>118855241.30771439</v>
      </c>
      <c r="E364" s="78">
        <f t="shared" si="100"/>
        <v>111270857.56232792</v>
      </c>
      <c r="F364" s="78">
        <f t="shared" si="100"/>
        <v>107489895.64392689</v>
      </c>
      <c r="G364" s="78">
        <f t="shared" si="100"/>
        <v>110405299.60842218</v>
      </c>
      <c r="H364" s="78">
        <f t="shared" si="100"/>
        <v>119638722.03516084</v>
      </c>
      <c r="I364" s="78">
        <f t="shared" si="100"/>
        <v>109764367.07384779</v>
      </c>
      <c r="J364" s="78">
        <f t="shared" si="100"/>
        <v>95206567.4066688</v>
      </c>
      <c r="K364" s="78">
        <f t="shared" si="100"/>
        <v>92666674.02897972</v>
      </c>
      <c r="L364" s="78">
        <f t="shared" si="100"/>
        <v>79267435.2343586</v>
      </c>
      <c r="M364" s="78">
        <f t="shared" si="100"/>
        <v>85720148.49290013</v>
      </c>
      <c r="N364" s="78">
        <f t="shared" si="100"/>
        <v>90116795.38902104</v>
      </c>
      <c r="O364" s="39">
        <f>SUM(O357:O363)</f>
        <v>1220880960.8162167</v>
      </c>
      <c r="P364" s="85">
        <f t="shared" si="93"/>
        <v>0</v>
      </c>
      <c r="R364" s="39">
        <f>SUM(R357:R363)</f>
        <v>1220783645</v>
      </c>
      <c r="S364" s="213">
        <f>ROUND(O364-R364,0)</f>
        <v>97316</v>
      </c>
    </row>
    <row r="365" spans="1:19" ht="11.25">
      <c r="A365" s="4"/>
      <c r="O365" s="33"/>
      <c r="R365" s="33"/>
      <c r="S365" s="212"/>
    </row>
    <row r="366" spans="1:19" ht="11.25">
      <c r="A366" s="9" t="s">
        <v>9</v>
      </c>
      <c r="B366" s="34"/>
      <c r="C366" s="68">
        <f aca="true" t="shared" si="101" ref="C366:N366">-C336+C347+C354+C364</f>
        <v>142372751.80720457</v>
      </c>
      <c r="D366" s="68">
        <f t="shared" si="101"/>
        <v>151489167.70780736</v>
      </c>
      <c r="E366" s="68">
        <f t="shared" si="101"/>
        <v>126184995.9876844</v>
      </c>
      <c r="F366" s="68">
        <f t="shared" si="101"/>
        <v>114016576.60056639</v>
      </c>
      <c r="G366" s="68">
        <f t="shared" si="101"/>
        <v>113851507.22321509</v>
      </c>
      <c r="H366" s="68">
        <f t="shared" si="101"/>
        <v>124881814.91556276</v>
      </c>
      <c r="I366" s="68">
        <f t="shared" si="101"/>
        <v>128942812.02592227</v>
      </c>
      <c r="J366" s="68">
        <f t="shared" si="101"/>
        <v>118627510.31842569</v>
      </c>
      <c r="K366" s="68">
        <f t="shared" si="101"/>
        <v>121455888.23298869</v>
      </c>
      <c r="L366" s="68">
        <f t="shared" si="101"/>
        <v>120311084.79532251</v>
      </c>
      <c r="M366" s="68">
        <f t="shared" si="101"/>
        <v>125880767.09500085</v>
      </c>
      <c r="N366" s="68">
        <f t="shared" si="101"/>
        <v>122703054.93139943</v>
      </c>
      <c r="O366" s="105">
        <f>-O336+O347+O354+O364</f>
        <v>1510717931.6411</v>
      </c>
      <c r="P366" s="85">
        <f>SUM(C366:N366)-O366</f>
        <v>0</v>
      </c>
      <c r="R366" s="105">
        <f>-R336+R347+R354+R364</f>
        <v>1508445770</v>
      </c>
      <c r="S366" s="213">
        <f>ROUND(O366-R366,0)</f>
        <v>2272162</v>
      </c>
    </row>
    <row r="367" spans="1:14" ht="11.25">
      <c r="A367" s="209"/>
      <c r="C367" s="208"/>
      <c r="D367" s="208"/>
      <c r="E367" s="208"/>
      <c r="F367" s="208"/>
      <c r="G367" s="208"/>
      <c r="H367" s="208"/>
      <c r="I367" s="208"/>
      <c r="J367" s="208"/>
      <c r="K367" s="208"/>
      <c r="L367" s="208"/>
      <c r="M367" s="208"/>
      <c r="N367" s="208"/>
    </row>
    <row r="368" spans="1:15" ht="11.25">
      <c r="A368" s="49" t="s">
        <v>376</v>
      </c>
      <c r="C368" s="131">
        <f>C366-'Base Forecast'!C366</f>
        <v>2241061.514444649</v>
      </c>
      <c r="D368" s="131">
        <f>D366-'Base Forecast'!D366</f>
        <v>31095.71474763751</v>
      </c>
      <c r="E368" s="131">
        <f>E366-'Base Forecast'!E366</f>
        <v>0.3031259924173355</v>
      </c>
      <c r="F368" s="131">
        <f>F366-'Base Forecast'!F366</f>
        <v>0.5857203602790833</v>
      </c>
      <c r="G368" s="131">
        <f>G366-'Base Forecast'!G366</f>
        <v>0.5640037953853607</v>
      </c>
      <c r="H368" s="131">
        <f>H366-'Base Forecast'!H366</f>
        <v>0.4320995509624481</v>
      </c>
      <c r="I368" s="131">
        <f>I366-'Base Forecast'!I366</f>
        <v>0.252096563577652</v>
      </c>
      <c r="J368" s="131">
        <f>J366-'Base Forecast'!J366</f>
        <v>0.4575623869895935</v>
      </c>
      <c r="K368" s="131">
        <f>K366-'Base Forecast'!K366</f>
        <v>0.3851780593395233</v>
      </c>
      <c r="L368" s="131">
        <f>L366-'Base Forecast'!L366</f>
        <v>0.4317900985479355</v>
      </c>
      <c r="M368" s="131">
        <f>M366-'Base Forecast'!M366</f>
        <v>0.6372969597578049</v>
      </c>
      <c r="N368" s="131">
        <f>N366-'Base Forecast'!N366</f>
        <v>0.3634561449289322</v>
      </c>
      <c r="O368" s="131">
        <f>O366-'Base Forecast'!O366</f>
        <v>2272161.6415219307</v>
      </c>
    </row>
    <row r="369" spans="1:15" ht="11.25">
      <c r="A369" s="49"/>
      <c r="C369" s="297">
        <f>C368/'Base Forecast'!C366</f>
        <v>0.01599253894506428</v>
      </c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  <c r="O369" s="239"/>
    </row>
    <row r="370" spans="1:14" ht="11.25">
      <c r="A370" s="49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</row>
    <row r="371" spans="1:16" ht="11.25">
      <c r="A371" s="232" t="s">
        <v>329</v>
      </c>
      <c r="D371" s="231" t="s">
        <v>329</v>
      </c>
      <c r="E371" s="59"/>
      <c r="G371" s="231" t="s">
        <v>329</v>
      </c>
      <c r="H371" s="59"/>
      <c r="K371" s="231" t="s">
        <v>329</v>
      </c>
      <c r="N371" s="231" t="s">
        <v>329</v>
      </c>
      <c r="O371" s="3"/>
      <c r="P371" s="3"/>
    </row>
    <row r="372" ht="11.25">
      <c r="A372" s="5"/>
    </row>
    <row r="373" ht="11.25">
      <c r="A373" s="5"/>
    </row>
    <row r="374" spans="1:19" ht="11.25">
      <c r="A374" s="41" t="s">
        <v>355</v>
      </c>
      <c r="B374" s="42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44"/>
      <c r="P374" s="84"/>
      <c r="Q374" s="40"/>
      <c r="R374" s="40"/>
      <c r="S374" s="40"/>
    </row>
    <row r="375" spans="3:16" ht="11.25">
      <c r="C375" s="295" t="s">
        <v>380</v>
      </c>
      <c r="D375" s="283"/>
      <c r="F375" s="59"/>
      <c r="I375" s="263"/>
      <c r="J375" s="59"/>
      <c r="K375" s="59"/>
      <c r="L375" s="59"/>
      <c r="M375" s="59"/>
      <c r="N375" s="3"/>
      <c r="O375" s="3"/>
      <c r="P375" s="3"/>
    </row>
    <row r="376" spans="1:15" ht="11.25">
      <c r="A376" s="229" t="s">
        <v>322</v>
      </c>
      <c r="B376" s="13"/>
      <c r="C376" s="230">
        <v>40742.666666666664</v>
      </c>
      <c r="D376" s="230">
        <v>40780.666666666664</v>
      </c>
      <c r="E376" s="230">
        <v>40794.625</v>
      </c>
      <c r="F376" s="230">
        <v>40847.333333333336</v>
      </c>
      <c r="G376" s="230">
        <v>40870.75</v>
      </c>
      <c r="H376" s="230">
        <v>40891.75</v>
      </c>
      <c r="I376" s="230">
        <v>40920.75</v>
      </c>
      <c r="J376" s="230">
        <v>40946.333333333336</v>
      </c>
      <c r="K376" s="230">
        <v>40976.333333333336</v>
      </c>
      <c r="L376" s="230">
        <v>41003.333333333336</v>
      </c>
      <c r="M376" s="230">
        <v>41044.625</v>
      </c>
      <c r="N376" s="230">
        <v>41081.625</v>
      </c>
      <c r="O376" s="3"/>
    </row>
    <row r="377" spans="1:15" ht="11.25">
      <c r="A377" s="15" t="s">
        <v>315</v>
      </c>
      <c r="B377" s="30"/>
      <c r="C377" s="200">
        <v>158.868</v>
      </c>
      <c r="D377" s="165">
        <v>155.254</v>
      </c>
      <c r="E377" s="165">
        <v>136.495</v>
      </c>
      <c r="F377" s="165">
        <v>131.463</v>
      </c>
      <c r="G377" s="165">
        <v>143.514</v>
      </c>
      <c r="H377" s="165">
        <v>160.575</v>
      </c>
      <c r="I377" s="165">
        <v>149.439</v>
      </c>
      <c r="J377" s="165">
        <v>156.054</v>
      </c>
      <c r="K377" s="165">
        <v>152.618</v>
      </c>
      <c r="L377" s="165">
        <v>139.263</v>
      </c>
      <c r="M377" s="165">
        <v>132.7</v>
      </c>
      <c r="N377" s="201">
        <v>153.637</v>
      </c>
      <c r="O377" s="202">
        <f aca="true" t="shared" si="102" ref="O377:O384">SUM(C377:N377)</f>
        <v>1769.8799999999999</v>
      </c>
    </row>
    <row r="378" spans="1:18" ht="11.25">
      <c r="A378" s="18" t="s">
        <v>316</v>
      </c>
      <c r="B378" s="29"/>
      <c r="C378" s="61">
        <v>2304.877</v>
      </c>
      <c r="D378" s="62">
        <v>2371.115</v>
      </c>
      <c r="E378" s="62">
        <v>2112.223</v>
      </c>
      <c r="F378" s="62">
        <v>2183.121</v>
      </c>
      <c r="G378" s="62">
        <v>2270.611</v>
      </c>
      <c r="H378" s="62">
        <v>2455.707</v>
      </c>
      <c r="I378" s="62">
        <v>2467.115</v>
      </c>
      <c r="J378" s="62">
        <v>2545.796</v>
      </c>
      <c r="K378" s="62">
        <v>2361.232</v>
      </c>
      <c r="L378" s="62">
        <v>2245.738</v>
      </c>
      <c r="M378" s="62">
        <v>1892.564</v>
      </c>
      <c r="N378" s="63">
        <v>2045.694</v>
      </c>
      <c r="O378" s="80">
        <f t="shared" si="102"/>
        <v>27255.792999999998</v>
      </c>
      <c r="R378" s="265"/>
    </row>
    <row r="379" spans="1:15" ht="11.25">
      <c r="A379" s="18" t="s">
        <v>317</v>
      </c>
      <c r="B379" s="29"/>
      <c r="C379" s="61">
        <v>769.873</v>
      </c>
      <c r="D379" s="62">
        <v>757.118</v>
      </c>
      <c r="E379" s="62">
        <v>671.082</v>
      </c>
      <c r="F379" s="62">
        <v>651.553</v>
      </c>
      <c r="G379" s="62">
        <v>708.752</v>
      </c>
      <c r="H379" s="62">
        <v>752.947</v>
      </c>
      <c r="I379" s="62">
        <v>780.5</v>
      </c>
      <c r="J379" s="62">
        <v>706.448</v>
      </c>
      <c r="K379" s="62">
        <v>697.236</v>
      </c>
      <c r="L379" s="62">
        <v>606.924</v>
      </c>
      <c r="M379" s="62">
        <v>594.896</v>
      </c>
      <c r="N379" s="63">
        <v>710.513</v>
      </c>
      <c r="O379" s="80">
        <f t="shared" si="102"/>
        <v>8407.842</v>
      </c>
    </row>
    <row r="380" spans="1:15" ht="11.25">
      <c r="A380" s="18" t="s">
        <v>318</v>
      </c>
      <c r="B380" s="29"/>
      <c r="C380" s="61">
        <v>1071.678</v>
      </c>
      <c r="D380" s="62">
        <v>1042.928</v>
      </c>
      <c r="E380" s="62">
        <v>1009.868</v>
      </c>
      <c r="F380" s="62">
        <v>1024.751</v>
      </c>
      <c r="G380" s="62">
        <v>1084.255</v>
      </c>
      <c r="H380" s="62">
        <v>1118.648</v>
      </c>
      <c r="I380" s="62">
        <v>1101.317</v>
      </c>
      <c r="J380" s="62">
        <v>1059.788</v>
      </c>
      <c r="K380" s="62">
        <v>1055.556</v>
      </c>
      <c r="L380" s="62">
        <v>1017.632</v>
      </c>
      <c r="M380" s="62">
        <v>1005.037</v>
      </c>
      <c r="N380" s="63">
        <v>1074.784</v>
      </c>
      <c r="O380" s="80">
        <f t="shared" si="102"/>
        <v>12666.242</v>
      </c>
    </row>
    <row r="381" spans="1:17" ht="11.25">
      <c r="A381" s="18" t="s">
        <v>319</v>
      </c>
      <c r="B381" s="29"/>
      <c r="C381" s="277">
        <f>4526.93106043147+476.3</f>
        <v>5003.23106043147</v>
      </c>
      <c r="D381" s="62">
        <v>4404.798120152895</v>
      </c>
      <c r="E381" s="62">
        <v>4090.6940115634825</v>
      </c>
      <c r="F381" s="62">
        <v>3053.976</v>
      </c>
      <c r="G381" s="62">
        <v>3684.027</v>
      </c>
      <c r="H381" s="62">
        <v>3790.0135981863677</v>
      </c>
      <c r="I381" s="62">
        <v>3672.5663175618365</v>
      </c>
      <c r="J381" s="62">
        <v>3393.027</v>
      </c>
      <c r="K381" s="62">
        <v>3259.398</v>
      </c>
      <c r="L381" s="62">
        <v>3100.691</v>
      </c>
      <c r="M381" s="62">
        <v>4027.943</v>
      </c>
      <c r="N381" s="63">
        <v>4298.048256059548</v>
      </c>
      <c r="O381" s="80">
        <f t="shared" si="102"/>
        <v>45778.4133639556</v>
      </c>
      <c r="P381" s="3">
        <f>C381-'Base Forecast'!C381</f>
        <v>476.3000000000011</v>
      </c>
      <c r="Q381" s="239">
        <f>P381/'Base Forecast'!C381</f>
        <v>0.10521476771828821</v>
      </c>
    </row>
    <row r="382" spans="1:17" ht="11.25">
      <c r="A382" s="18" t="s">
        <v>320</v>
      </c>
      <c r="B382" s="29"/>
      <c r="C382" s="277">
        <f>441.402471989414+24.7666</f>
        <v>466.16907198941396</v>
      </c>
      <c r="D382" s="62">
        <v>304.7025600737678</v>
      </c>
      <c r="E382" s="62">
        <v>476.606</v>
      </c>
      <c r="F382" s="62">
        <v>437.165</v>
      </c>
      <c r="G382" s="62">
        <v>460.086</v>
      </c>
      <c r="H382" s="62">
        <v>478.799</v>
      </c>
      <c r="I382" s="62">
        <v>464.366</v>
      </c>
      <c r="J382" s="62">
        <v>445.301</v>
      </c>
      <c r="K382" s="62">
        <v>433.836</v>
      </c>
      <c r="L382" s="62">
        <v>430.63</v>
      </c>
      <c r="M382" s="62">
        <v>498.435</v>
      </c>
      <c r="N382" s="63">
        <v>408.62722567877177</v>
      </c>
      <c r="O382" s="80">
        <f t="shared" si="102"/>
        <v>5304.722857741954</v>
      </c>
      <c r="P382" s="3">
        <f>C382-'Base Forecast'!C382</f>
        <v>24.766600000000267</v>
      </c>
      <c r="Q382" s="239">
        <f>P382/'Base Forecast'!C382</f>
        <v>0.05610888377760207</v>
      </c>
    </row>
    <row r="383" spans="1:17" ht="11.25">
      <c r="A383" s="18" t="s">
        <v>318</v>
      </c>
      <c r="B383" s="29"/>
      <c r="C383" s="277">
        <f>253.716+17.0958</f>
        <v>270.8118</v>
      </c>
      <c r="D383" s="62">
        <v>251.323</v>
      </c>
      <c r="E383" s="62">
        <v>247.901</v>
      </c>
      <c r="F383" s="62">
        <v>262.103</v>
      </c>
      <c r="G383" s="62">
        <v>271.1</v>
      </c>
      <c r="H383" s="62">
        <v>284.029</v>
      </c>
      <c r="I383" s="62">
        <v>261.433</v>
      </c>
      <c r="J383" s="62">
        <v>254.899</v>
      </c>
      <c r="K383" s="62">
        <v>266.398</v>
      </c>
      <c r="L383" s="62">
        <v>248.333</v>
      </c>
      <c r="M383" s="62">
        <v>248.798</v>
      </c>
      <c r="N383" s="63">
        <v>246.004</v>
      </c>
      <c r="O383" s="80">
        <f t="shared" si="102"/>
        <v>3113.1328000000003</v>
      </c>
      <c r="P383" s="3">
        <f>C383-'Base Forecast'!C383</f>
        <v>17.095799999999997</v>
      </c>
      <c r="Q383" s="239">
        <f>P383/'Base Forecast'!C383</f>
        <v>0.06738163931324787</v>
      </c>
    </row>
    <row r="384" spans="1:17" ht="11.25">
      <c r="A384" s="18" t="s">
        <v>321</v>
      </c>
      <c r="B384" s="29"/>
      <c r="C384" s="277">
        <f>38.543+3.9</f>
        <v>42.443</v>
      </c>
      <c r="D384" s="62">
        <v>36.143</v>
      </c>
      <c r="E384" s="62">
        <v>36.813</v>
      </c>
      <c r="F384" s="62">
        <v>22.256</v>
      </c>
      <c r="G384" s="62">
        <v>30.508</v>
      </c>
      <c r="H384" s="62">
        <v>31.813</v>
      </c>
      <c r="I384" s="62">
        <v>30.585</v>
      </c>
      <c r="J384" s="62">
        <v>19.003</v>
      </c>
      <c r="K384" s="62">
        <v>19.218</v>
      </c>
      <c r="L384" s="62">
        <v>17.557</v>
      </c>
      <c r="M384" s="62">
        <v>25.379</v>
      </c>
      <c r="N384" s="63">
        <v>17.392</v>
      </c>
      <c r="O384" s="80">
        <f t="shared" si="102"/>
        <v>329.11000000000007</v>
      </c>
      <c r="P384" s="3">
        <f>C384-'Base Forecast'!C384</f>
        <v>3.8999999999999986</v>
      </c>
      <c r="Q384" s="239">
        <f>P384/'Base Forecast'!C384</f>
        <v>0.10118568871130941</v>
      </c>
    </row>
    <row r="385" spans="1:16" ht="11.25">
      <c r="A385" s="38" t="s">
        <v>324</v>
      </c>
      <c r="B385" s="34"/>
      <c r="C385" s="190">
        <f>SUM(C377:C384)</f>
        <v>10087.950932420883</v>
      </c>
      <c r="D385" s="78">
        <f aca="true" t="shared" si="103" ref="D385:O385">SUM(D377:D384)</f>
        <v>9323.381680226661</v>
      </c>
      <c r="E385" s="78">
        <f t="shared" si="103"/>
        <v>8781.682011563482</v>
      </c>
      <c r="F385" s="78">
        <f t="shared" si="103"/>
        <v>7766.388</v>
      </c>
      <c r="G385" s="78">
        <f t="shared" si="103"/>
        <v>8652.853</v>
      </c>
      <c r="H385" s="78">
        <f t="shared" si="103"/>
        <v>9072.531598186368</v>
      </c>
      <c r="I385" s="78">
        <f t="shared" si="103"/>
        <v>8927.321317561837</v>
      </c>
      <c r="J385" s="78">
        <f t="shared" si="103"/>
        <v>8580.315999999999</v>
      </c>
      <c r="K385" s="78">
        <f t="shared" si="103"/>
        <v>8245.492</v>
      </c>
      <c r="L385" s="78">
        <f t="shared" si="103"/>
        <v>7806.767999999999</v>
      </c>
      <c r="M385" s="78">
        <f t="shared" si="103"/>
        <v>8425.752000000002</v>
      </c>
      <c r="N385" s="191">
        <f t="shared" si="103"/>
        <v>8954.699481738322</v>
      </c>
      <c r="O385" s="134">
        <f t="shared" si="103"/>
        <v>104625.13602169757</v>
      </c>
      <c r="P385" s="3">
        <f>SUM(P381:P384)</f>
        <v>522.0624000000013</v>
      </c>
    </row>
    <row r="386" spans="3:16" ht="11.25"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3"/>
      <c r="O386" s="3"/>
      <c r="P386" s="3"/>
    </row>
    <row r="387" spans="3:16" ht="11.25">
      <c r="C387" s="58"/>
      <c r="D387" s="59"/>
      <c r="E387" s="59"/>
      <c r="F387" s="59"/>
      <c r="G387" s="59"/>
      <c r="H387" s="260"/>
      <c r="I387" s="59"/>
      <c r="J387" s="59"/>
      <c r="K387" s="59"/>
      <c r="L387" s="59"/>
      <c r="M387" s="59"/>
      <c r="N387" s="3"/>
      <c r="O387" s="3"/>
      <c r="P387" s="3"/>
    </row>
    <row r="388" spans="1:15" ht="11.25">
      <c r="A388" s="229" t="s">
        <v>323</v>
      </c>
      <c r="B388" s="13"/>
      <c r="C388" s="295" t="s">
        <v>381</v>
      </c>
      <c r="F388" s="59"/>
      <c r="I388" s="261"/>
      <c r="J388" s="59"/>
      <c r="K388" s="59"/>
      <c r="L388" s="59"/>
      <c r="M388" s="59"/>
      <c r="N388" s="3"/>
      <c r="O388" s="3"/>
    </row>
    <row r="389" spans="1:15" ht="11.25">
      <c r="A389" s="15" t="s">
        <v>315</v>
      </c>
      <c r="B389" s="30"/>
      <c r="C389" s="200">
        <v>90120</v>
      </c>
      <c r="D389" s="165">
        <v>85150</v>
      </c>
      <c r="E389" s="165">
        <v>72540</v>
      </c>
      <c r="F389" s="165">
        <v>70540</v>
      </c>
      <c r="G389" s="165">
        <v>73640</v>
      </c>
      <c r="H389" s="165">
        <v>84190</v>
      </c>
      <c r="I389" s="165">
        <v>86080</v>
      </c>
      <c r="J389" s="165">
        <v>76590</v>
      </c>
      <c r="K389" s="165">
        <v>76790</v>
      </c>
      <c r="L389" s="165">
        <v>74520</v>
      </c>
      <c r="M389" s="165">
        <v>80000</v>
      </c>
      <c r="N389" s="201">
        <v>83360</v>
      </c>
      <c r="O389" s="202">
        <f aca="true" t="shared" si="104" ref="O389:O396">SUM(C389:N389)</f>
        <v>953520</v>
      </c>
    </row>
    <row r="390" spans="1:15" ht="11.25">
      <c r="A390" s="18" t="s">
        <v>316</v>
      </c>
      <c r="B390" s="29"/>
      <c r="C390" s="61">
        <v>1264730</v>
      </c>
      <c r="D390" s="62">
        <v>1261600</v>
      </c>
      <c r="E390" s="62">
        <v>1140850</v>
      </c>
      <c r="F390" s="62">
        <v>1174690</v>
      </c>
      <c r="G390" s="62">
        <v>1242870</v>
      </c>
      <c r="H390" s="62">
        <v>1418300</v>
      </c>
      <c r="I390" s="62">
        <v>1434910</v>
      </c>
      <c r="J390" s="62">
        <v>1284910</v>
      </c>
      <c r="K390" s="62">
        <v>1294420</v>
      </c>
      <c r="L390" s="62">
        <v>1183460</v>
      </c>
      <c r="M390" s="62">
        <v>1182770</v>
      </c>
      <c r="N390" s="63">
        <v>1161300</v>
      </c>
      <c r="O390" s="80">
        <f t="shared" si="104"/>
        <v>15044810</v>
      </c>
    </row>
    <row r="391" spans="1:15" ht="11.25">
      <c r="A391" s="18" t="s">
        <v>317</v>
      </c>
      <c r="B391" s="29"/>
      <c r="C391" s="61">
        <v>395310</v>
      </c>
      <c r="D391" s="62">
        <v>395730</v>
      </c>
      <c r="E391" s="62">
        <v>360340</v>
      </c>
      <c r="F391" s="62">
        <v>375130</v>
      </c>
      <c r="G391" s="62">
        <v>388540</v>
      </c>
      <c r="H391" s="62">
        <v>440640</v>
      </c>
      <c r="I391" s="62">
        <v>441090</v>
      </c>
      <c r="J391" s="62">
        <v>386160</v>
      </c>
      <c r="K391" s="62">
        <v>374570</v>
      </c>
      <c r="L391" s="62">
        <v>340190</v>
      </c>
      <c r="M391" s="62">
        <v>346600</v>
      </c>
      <c r="N391" s="63">
        <v>341910</v>
      </c>
      <c r="O391" s="80">
        <f t="shared" si="104"/>
        <v>4586210</v>
      </c>
    </row>
    <row r="392" spans="1:15" ht="11.25">
      <c r="A392" s="18" t="s">
        <v>318</v>
      </c>
      <c r="B392" s="29"/>
      <c r="C392" s="61">
        <v>709660</v>
      </c>
      <c r="D392" s="62">
        <v>712320</v>
      </c>
      <c r="E392" s="62">
        <v>675450</v>
      </c>
      <c r="F392" s="62">
        <v>720280</v>
      </c>
      <c r="G392" s="62">
        <v>721670</v>
      </c>
      <c r="H392" s="62">
        <v>746280</v>
      </c>
      <c r="I392" s="62">
        <v>732020</v>
      </c>
      <c r="J392" s="62">
        <v>707410</v>
      </c>
      <c r="K392" s="62">
        <v>755010</v>
      </c>
      <c r="L392" s="62">
        <v>701130</v>
      </c>
      <c r="M392" s="62">
        <v>717610</v>
      </c>
      <c r="N392" s="63">
        <v>691920</v>
      </c>
      <c r="O392" s="80">
        <f t="shared" si="104"/>
        <v>8590760</v>
      </c>
    </row>
    <row r="393" spans="1:17" ht="11.25">
      <c r="A393" s="18" t="s">
        <v>319</v>
      </c>
      <c r="B393" s="29"/>
      <c r="C393" s="277">
        <f>2487068.85260999+42826.5865536131</f>
        <v>2529895.4391636034</v>
      </c>
      <c r="D393" s="62">
        <v>2438509.7444056342</v>
      </c>
      <c r="E393" s="62">
        <v>2080961.8373600258</v>
      </c>
      <c r="F393" s="62">
        <v>2071429.3328379635</v>
      </c>
      <c r="G393" s="62">
        <v>2071815.7681234297</v>
      </c>
      <c r="H393" s="62">
        <v>2188690.6580353575</v>
      </c>
      <c r="I393" s="62">
        <v>2214778.992962022</v>
      </c>
      <c r="J393" s="62">
        <v>2061686.698582105</v>
      </c>
      <c r="K393" s="62">
        <v>2151582.6614674903</v>
      </c>
      <c r="L393" s="62">
        <v>2067721.3107937044</v>
      </c>
      <c r="M393" s="62">
        <v>2144934.3661793056</v>
      </c>
      <c r="N393" s="63">
        <v>2247828.3069755384</v>
      </c>
      <c r="O393" s="80">
        <f t="shared" si="104"/>
        <v>26269835.11688618</v>
      </c>
      <c r="P393" s="3">
        <f>C393-'Base Forecast'!C393</f>
        <v>42826.586553609</v>
      </c>
      <c r="Q393" s="239">
        <f>P393/'Base Forecast'!C393</f>
        <v>0.01721970282755368</v>
      </c>
    </row>
    <row r="394" spans="1:17" ht="11.25">
      <c r="A394" s="18" t="s">
        <v>320</v>
      </c>
      <c r="B394" s="29"/>
      <c r="C394" s="277">
        <f>426953.553512744+2858.01525123263</f>
        <v>429811.5687639766</v>
      </c>
      <c r="D394" s="62">
        <v>358908.5042386021</v>
      </c>
      <c r="E394" s="62">
        <v>284426.5989845675</v>
      </c>
      <c r="F394" s="62">
        <v>283675.1399802953</v>
      </c>
      <c r="G394" s="62">
        <v>273202.46878707485</v>
      </c>
      <c r="H394" s="62">
        <v>297442.43600311154</v>
      </c>
      <c r="I394" s="62">
        <v>298675.59580139094</v>
      </c>
      <c r="J394" s="62">
        <v>271955.2283485774</v>
      </c>
      <c r="K394" s="62">
        <v>288034.5648054413</v>
      </c>
      <c r="L394" s="62">
        <v>276265.161247841</v>
      </c>
      <c r="M394" s="62">
        <v>332388.8130895598</v>
      </c>
      <c r="N394" s="63">
        <v>372817.1712077406</v>
      </c>
      <c r="O394" s="80">
        <f t="shared" si="104"/>
        <v>3767603.251258179</v>
      </c>
      <c r="P394" s="3">
        <f>C394-'Base Forecast'!C394</f>
        <v>2858.015251232777</v>
      </c>
      <c r="Q394" s="239">
        <f>P394/'Base Forecast'!C394</f>
        <v>0.006693972278058273</v>
      </c>
    </row>
    <row r="395" spans="1:17" ht="11.25">
      <c r="A395" s="18" t="s">
        <v>318</v>
      </c>
      <c r="B395" s="29"/>
      <c r="C395" s="277">
        <f>185400+3168.20693260062</f>
        <v>188568.20693260062</v>
      </c>
      <c r="D395" s="62">
        <v>183180</v>
      </c>
      <c r="E395" s="62">
        <v>177340</v>
      </c>
      <c r="F395" s="62">
        <v>190260</v>
      </c>
      <c r="G395" s="62">
        <v>184140</v>
      </c>
      <c r="H395" s="62">
        <v>197730</v>
      </c>
      <c r="I395" s="62">
        <v>183820</v>
      </c>
      <c r="J395" s="62">
        <v>173540</v>
      </c>
      <c r="K395" s="62">
        <v>193780</v>
      </c>
      <c r="L395" s="62">
        <v>176380</v>
      </c>
      <c r="M395" s="62">
        <v>186090</v>
      </c>
      <c r="N395" s="63">
        <v>175680</v>
      </c>
      <c r="O395" s="80">
        <f t="shared" si="104"/>
        <v>2210508.2069326006</v>
      </c>
      <c r="P395" s="3">
        <f>C395-'Base Forecast'!C395</f>
        <v>3168.2069326006167</v>
      </c>
      <c r="Q395" s="239">
        <f>P395/'Base Forecast'!C395</f>
        <v>0.0170884947820961</v>
      </c>
    </row>
    <row r="396" spans="1:17" ht="11.25">
      <c r="A396" s="18" t="s">
        <v>321</v>
      </c>
      <c r="B396" s="29"/>
      <c r="C396" s="277">
        <f>22054.458+378.931262553866</f>
        <v>22433.389262553865</v>
      </c>
      <c r="D396" s="62">
        <v>21366.891</v>
      </c>
      <c r="E396" s="62">
        <v>19288.653</v>
      </c>
      <c r="F396" s="62">
        <v>16603.273</v>
      </c>
      <c r="G396" s="62">
        <v>16514.516</v>
      </c>
      <c r="H396" s="62">
        <v>19350.925</v>
      </c>
      <c r="I396" s="62">
        <v>17802.569</v>
      </c>
      <c r="J396" s="62">
        <v>15270.711000000001</v>
      </c>
      <c r="K396" s="62">
        <v>15955.473</v>
      </c>
      <c r="L396" s="62">
        <v>15047.706</v>
      </c>
      <c r="M396" s="62">
        <v>15830.82</v>
      </c>
      <c r="N396" s="63">
        <v>15554.319</v>
      </c>
      <c r="O396" s="80">
        <f t="shared" si="104"/>
        <v>211019.2452625539</v>
      </c>
      <c r="P396" s="3">
        <f>C396-'Base Forecast'!C396</f>
        <v>378.93126255386596</v>
      </c>
      <c r="Q396" s="239">
        <f>P396/'Base Forecast'!C396</f>
        <v>0.0171816175466142</v>
      </c>
    </row>
    <row r="397" spans="1:17" ht="11.25">
      <c r="A397" s="38" t="s">
        <v>325</v>
      </c>
      <c r="B397" s="228"/>
      <c r="C397" s="225">
        <f>SUM(C389:C396)</f>
        <v>5630528.604122735</v>
      </c>
      <c r="D397" s="226">
        <f aca="true" t="shared" si="105" ref="D397:O397">SUM(D389:D396)</f>
        <v>5456765.139644236</v>
      </c>
      <c r="E397" s="226">
        <f t="shared" si="105"/>
        <v>4811197.089344594</v>
      </c>
      <c r="F397" s="226">
        <f t="shared" si="105"/>
        <v>4902607.745818259</v>
      </c>
      <c r="G397" s="226">
        <f t="shared" si="105"/>
        <v>4972392.752910504</v>
      </c>
      <c r="H397" s="226">
        <f t="shared" si="105"/>
        <v>5392624.019038469</v>
      </c>
      <c r="I397" s="226">
        <f t="shared" si="105"/>
        <v>5409177.157763412</v>
      </c>
      <c r="J397" s="226">
        <f t="shared" si="105"/>
        <v>4977522.637930683</v>
      </c>
      <c r="K397" s="226">
        <f t="shared" si="105"/>
        <v>5150142.6992729325</v>
      </c>
      <c r="L397" s="226">
        <f t="shared" si="105"/>
        <v>4834714.178041546</v>
      </c>
      <c r="M397" s="226">
        <f t="shared" si="105"/>
        <v>5006223.999268866</v>
      </c>
      <c r="N397" s="226">
        <f t="shared" si="105"/>
        <v>5090369.797183279</v>
      </c>
      <c r="O397" s="227">
        <f t="shared" si="105"/>
        <v>61634265.82033952</v>
      </c>
      <c r="P397" s="3">
        <f>SUM(P393:P396)</f>
        <v>49231.73999999626</v>
      </c>
      <c r="Q397" s="1"/>
    </row>
    <row r="398" spans="4:16" ht="11.25"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239"/>
    </row>
    <row r="399" spans="1:17" ht="11.25">
      <c r="A399" s="222"/>
      <c r="B399" s="29"/>
      <c r="C399" s="297">
        <f>C397/'Base Forecast'!C397-1</f>
        <v>0.008820842395333761</v>
      </c>
      <c r="D399" s="257"/>
      <c r="E399" s="257"/>
      <c r="F399" s="257"/>
      <c r="G399" s="257"/>
      <c r="H399" s="257"/>
      <c r="I399" s="257"/>
      <c r="J399" s="257"/>
      <c r="K399" s="257"/>
      <c r="L399" s="257"/>
      <c r="M399" s="257"/>
      <c r="N399" s="257"/>
      <c r="O399" s="257"/>
      <c r="P399" s="296"/>
      <c r="Q399" s="1"/>
    </row>
    <row r="400" spans="1:19" ht="11.25">
      <c r="A400" s="7" t="s">
        <v>327</v>
      </c>
      <c r="B400" s="59"/>
      <c r="D400" s="231" t="s">
        <v>327</v>
      </c>
      <c r="E400" s="233"/>
      <c r="F400" s="233"/>
      <c r="G400" s="231" t="s">
        <v>327</v>
      </c>
      <c r="H400" s="233"/>
      <c r="I400" s="233"/>
      <c r="J400" s="233"/>
      <c r="K400" s="231" t="s">
        <v>327</v>
      </c>
      <c r="L400" s="233"/>
      <c r="M400" s="233"/>
      <c r="N400" s="231" t="s">
        <v>327</v>
      </c>
      <c r="O400" s="59"/>
      <c r="P400" s="59"/>
      <c r="Q400" s="59"/>
      <c r="R400" s="59"/>
      <c r="S400" s="59"/>
    </row>
    <row r="403" spans="1:19" ht="11.25">
      <c r="A403" s="41" t="s">
        <v>362</v>
      </c>
      <c r="B403" s="42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44"/>
      <c r="P403" s="84"/>
      <c r="Q403" s="43"/>
      <c r="R403" s="43"/>
      <c r="S403" s="43"/>
    </row>
    <row r="404" ht="11.25">
      <c r="A404" s="5"/>
    </row>
    <row r="405" ht="11.25">
      <c r="A405" s="5" t="s">
        <v>287</v>
      </c>
    </row>
    <row r="406" ht="11.25">
      <c r="A406" s="5"/>
    </row>
    <row r="407" spans="1:19" ht="11.25">
      <c r="A407" s="5" t="s">
        <v>336</v>
      </c>
      <c r="R407" s="10" t="s">
        <v>278</v>
      </c>
      <c r="S407" s="154" t="s">
        <v>309</v>
      </c>
    </row>
    <row r="408" spans="1:19" ht="11.25">
      <c r="A408" s="123" t="s">
        <v>274</v>
      </c>
      <c r="B408" s="124"/>
      <c r="C408" s="125">
        <f aca="true" t="shared" si="106" ref="C408:N408">-SUM(C332:C334)+SUM(C339:C340)+C342+SUM(C344:C345)+SUM(C350:C352)</f>
        <v>36564484.554523215</v>
      </c>
      <c r="D408" s="125">
        <f t="shared" si="106"/>
        <v>27137810.75097601</v>
      </c>
      <c r="E408" s="125">
        <f t="shared" si="106"/>
        <v>9101030.529794997</v>
      </c>
      <c r="F408" s="125">
        <f t="shared" si="106"/>
        <v>2149363.1271206085</v>
      </c>
      <c r="G408" s="125">
        <f t="shared" si="106"/>
        <v>-609107.3470268939</v>
      </c>
      <c r="H408" s="125">
        <f t="shared" si="106"/>
        <v>657984.2269416712</v>
      </c>
      <c r="I408" s="125">
        <f t="shared" si="106"/>
        <v>16222181.84733328</v>
      </c>
      <c r="J408" s="125">
        <f t="shared" si="106"/>
        <v>20746957.407543935</v>
      </c>
      <c r="K408" s="125">
        <f t="shared" si="106"/>
        <v>25729813.187389117</v>
      </c>
      <c r="L408" s="125">
        <f t="shared" si="106"/>
        <v>38289729.389469534</v>
      </c>
      <c r="M408" s="125">
        <f t="shared" si="106"/>
        <v>37121119.13306859</v>
      </c>
      <c r="N408" s="125">
        <f t="shared" si="106"/>
        <v>29343916.428713415</v>
      </c>
      <c r="O408" s="126">
        <f>-SUM(O332:O334)+SUM(O339:O340)+O342+SUM(O344:O345)+SUM(O350:O352)</f>
        <v>242455283.23584753</v>
      </c>
      <c r="P408" s="85"/>
      <c r="R408" s="126">
        <f>-SUM(R332:R334)+SUM(R339:R340)+R342+SUM(R344:R345)+SUM(R350:R352)</f>
        <v>240280438</v>
      </c>
      <c r="S408" s="241">
        <f>ROUND(O408-R408,0)</f>
        <v>2174845</v>
      </c>
    </row>
    <row r="409" spans="1:19" ht="11.25">
      <c r="A409" s="127" t="s">
        <v>275</v>
      </c>
      <c r="B409" s="128"/>
      <c r="C409" s="129">
        <f aca="true" t="shared" si="107" ref="C409:N409">-C335+C341+C343+C353+C364</f>
        <v>105808267.25268136</v>
      </c>
      <c r="D409" s="129">
        <f t="shared" si="107"/>
        <v>124351356.95683137</v>
      </c>
      <c r="E409" s="129">
        <f t="shared" si="107"/>
        <v>117083965.4578894</v>
      </c>
      <c r="F409" s="129">
        <f t="shared" si="107"/>
        <v>111867213.47344577</v>
      </c>
      <c r="G409" s="129">
        <f t="shared" si="107"/>
        <v>114460614.57024199</v>
      </c>
      <c r="H409" s="129">
        <f t="shared" si="107"/>
        <v>124223830.6886211</v>
      </c>
      <c r="I409" s="129">
        <f t="shared" si="107"/>
        <v>112720630.17858899</v>
      </c>
      <c r="J409" s="129">
        <f t="shared" si="107"/>
        <v>97880552.91088176</v>
      </c>
      <c r="K409" s="129">
        <f t="shared" si="107"/>
        <v>95726075.04559958</v>
      </c>
      <c r="L409" s="129">
        <f t="shared" si="107"/>
        <v>82021355.40585296</v>
      </c>
      <c r="M409" s="129">
        <f t="shared" si="107"/>
        <v>88759647.96193226</v>
      </c>
      <c r="N409" s="129">
        <f t="shared" si="107"/>
        <v>93359138.50268602</v>
      </c>
      <c r="O409" s="130">
        <f>-O335+O341+O343+O353+O364</f>
        <v>1268262648.4052525</v>
      </c>
      <c r="P409" s="85"/>
      <c r="R409" s="130">
        <f>-R335+R341+R343+R353+R364</f>
        <v>1268165332</v>
      </c>
      <c r="S409" s="211">
        <f>ROUND(O409-R409,0)</f>
        <v>97316</v>
      </c>
    </row>
    <row r="410" spans="1:19" ht="11.25">
      <c r="A410" s="38" t="s">
        <v>273</v>
      </c>
      <c r="B410" s="34"/>
      <c r="C410" s="68">
        <f aca="true" t="shared" si="108" ref="C410:N410">SUM(C408:C409)</f>
        <v>142372751.80720457</v>
      </c>
      <c r="D410" s="68">
        <f t="shared" si="108"/>
        <v>151489167.70780736</v>
      </c>
      <c r="E410" s="78">
        <f t="shared" si="108"/>
        <v>126184995.98768438</v>
      </c>
      <c r="F410" s="78">
        <f t="shared" si="108"/>
        <v>114016576.60056639</v>
      </c>
      <c r="G410" s="78">
        <f t="shared" si="108"/>
        <v>113851507.22321509</v>
      </c>
      <c r="H410" s="78">
        <f t="shared" si="108"/>
        <v>124881814.91556278</v>
      </c>
      <c r="I410" s="78">
        <f t="shared" si="108"/>
        <v>128942812.02592227</v>
      </c>
      <c r="J410" s="78">
        <f t="shared" si="108"/>
        <v>118627510.31842569</v>
      </c>
      <c r="K410" s="78">
        <f t="shared" si="108"/>
        <v>121455888.2329887</v>
      </c>
      <c r="L410" s="78">
        <f t="shared" si="108"/>
        <v>120311084.7953225</v>
      </c>
      <c r="M410" s="78">
        <f t="shared" si="108"/>
        <v>125880767.09500085</v>
      </c>
      <c r="N410" s="78">
        <f t="shared" si="108"/>
        <v>122703054.93139943</v>
      </c>
      <c r="O410" s="39">
        <f>SUM(O408:O409)</f>
        <v>1510717931.6411</v>
      </c>
      <c r="P410" s="132"/>
      <c r="R410" s="39">
        <f>SUM(R408:R409)</f>
        <v>1508445770</v>
      </c>
      <c r="S410" s="213">
        <f>ROUND(O410-R410,0)</f>
        <v>2272162</v>
      </c>
    </row>
    <row r="411" ht="11.25">
      <c r="S411" s="50"/>
    </row>
    <row r="412" spans="1:19" ht="11.25">
      <c r="A412" s="5" t="s">
        <v>419</v>
      </c>
      <c r="S412" s="50"/>
    </row>
    <row r="413" spans="1:19" ht="11.25">
      <c r="A413" s="15" t="s">
        <v>274</v>
      </c>
      <c r="B413" s="30"/>
      <c r="C413" s="76">
        <f>+'Base Forecast'!C408*'Base Forecast'!$O$414</f>
        <v>-763348.9536276306</v>
      </c>
      <c r="D413" s="76">
        <f>+'Base Forecast'!D408*'Base Forecast'!$O$414</f>
        <v>-600858.472648999</v>
      </c>
      <c r="E413" s="76">
        <f>+'Base Forecast'!E408*'Base Forecast'!$O$414</f>
        <v>-201791.12826757354</v>
      </c>
      <c r="F413" s="76">
        <f>+'Base Forecast'!F408*'Base Forecast'!$O$414</f>
        <v>-47656.406497974625</v>
      </c>
      <c r="G413" s="76">
        <f>+'Base Forecast'!G408*'Base Forecast'!$O$414</f>
        <v>13505.334191576876</v>
      </c>
      <c r="H413" s="76">
        <f>+'Base Forecast'!H408*'Base Forecast'!$O$414</f>
        <v>-14589.04891068614</v>
      </c>
      <c r="I413" s="76">
        <f>+'Base Forecast'!I408*'Base Forecast'!$O$414</f>
        <v>-359683.70474292536</v>
      </c>
      <c r="J413" s="76">
        <f>+'Base Forecast'!J408*'Base Forecast'!$O$414</f>
        <v>-460008.55943528924</v>
      </c>
      <c r="K413" s="76">
        <f>+'Base Forecast'!K408*'Base Forecast'!$O$414</f>
        <v>-570490.1237502052</v>
      </c>
      <c r="L413" s="76">
        <f>+'Base Forecast'!L408*'Base Forecast'!$O$414</f>
        <v>-848972.8354680258</v>
      </c>
      <c r="M413" s="76">
        <f>+'Base Forecast'!M408*'Base Forecast'!$O$414</f>
        <v>-823062.0134603211</v>
      </c>
      <c r="N413" s="76">
        <f>+'Base Forecast'!N408*'Base Forecast'!$O$414</f>
        <v>-650623.243659512</v>
      </c>
      <c r="O413" s="243">
        <f>(1+O414)*O410</f>
        <v>1477221782.5048132</v>
      </c>
      <c r="P413" s="133"/>
      <c r="S413" s="50"/>
    </row>
    <row r="414" spans="1:19" ht="11.25">
      <c r="A414" s="360" t="s">
        <v>275</v>
      </c>
      <c r="B414" s="13"/>
      <c r="C414" s="77">
        <f>+'Base Forecast'!C409*'Base Forecast'!$O$414</f>
        <v>-2343698.297520879</v>
      </c>
      <c r="D414" s="77">
        <f>+'Base Forecast'!D409*'Base Forecast'!$O$414</f>
        <v>-2757321.145873755</v>
      </c>
      <c r="E414" s="77">
        <f>+'Base Forecast'!E409*'Base Forecast'!$O$414</f>
        <v>-2596025.291121968</v>
      </c>
      <c r="F414" s="77">
        <f>+'Base Forecast'!F409*'Base Forecast'!$O$414</f>
        <v>-2480357.6947534354</v>
      </c>
      <c r="G414" s="77">
        <f>+'Base Forecast'!G409*'Base Forecast'!$O$414</f>
        <v>-2537859.4618381425</v>
      </c>
      <c r="H414" s="77">
        <f>+'Base Forecast'!H409*'Base Forecast'!$O$414</f>
        <v>-2754332.7959529078</v>
      </c>
      <c r="I414" s="77">
        <f>+'Base Forecast'!I409*'Base Forecast'!$O$414</f>
        <v>-2499279.946093191</v>
      </c>
      <c r="J414" s="77">
        <f>+'Base Forecast'!J409*'Base Forecast'!$O$414</f>
        <v>-2170240.7271733037</v>
      </c>
      <c r="K414" s="77">
        <f>+'Base Forecast'!K409*'Base Forecast'!$O$414</f>
        <v>-2122470.9165751534</v>
      </c>
      <c r="L414" s="77">
        <f>+'Base Forecast'!L409*'Base Forecast'!$O$414</f>
        <v>-1818605.2346562254</v>
      </c>
      <c r="M414" s="77">
        <f>+'Base Forecast'!M409*'Base Forecast'!$O$414</f>
        <v>-1968008.9325745313</v>
      </c>
      <c r="N414" s="77">
        <f>+'Base Forecast'!N409*'Base Forecast'!$O$414</f>
        <v>-2069990.399167226</v>
      </c>
      <c r="O414" s="244">
        <f>'Base Forecast'!O414</f>
        <v>-0.022172338352997367</v>
      </c>
      <c r="P414" s="133" t="s">
        <v>267</v>
      </c>
      <c r="R414" s="160">
        <f>O414</f>
        <v>-0.022172338352997367</v>
      </c>
      <c r="S414" s="50"/>
    </row>
    <row r="415" ht="11.25">
      <c r="S415" s="50"/>
    </row>
    <row r="416" spans="1:19" ht="11.25">
      <c r="A416" s="5" t="s">
        <v>334</v>
      </c>
      <c r="S416" s="50"/>
    </row>
    <row r="417" spans="1:19" ht="11.25">
      <c r="A417" s="15" t="s">
        <v>274</v>
      </c>
      <c r="B417" s="30"/>
      <c r="C417" s="76">
        <f>+C408+C413</f>
        <v>35801135.60089558</v>
      </c>
      <c r="D417" s="76">
        <f aca="true" t="shared" si="109" ref="D417:N417">+D408+D413</f>
        <v>26536952.27832701</v>
      </c>
      <c r="E417" s="76">
        <f t="shared" si="109"/>
        <v>8899239.401527423</v>
      </c>
      <c r="F417" s="76">
        <f t="shared" si="109"/>
        <v>2101706.720622634</v>
      </c>
      <c r="G417" s="76">
        <f t="shared" si="109"/>
        <v>-595602.012835317</v>
      </c>
      <c r="H417" s="76">
        <f t="shared" si="109"/>
        <v>643395.1780309851</v>
      </c>
      <c r="I417" s="76">
        <f>+I408+I413</f>
        <v>15862498.142590355</v>
      </c>
      <c r="J417" s="76">
        <f t="shared" si="109"/>
        <v>20286948.848108646</v>
      </c>
      <c r="K417" s="76">
        <f t="shared" si="109"/>
        <v>25159323.06363891</v>
      </c>
      <c r="L417" s="76">
        <f t="shared" si="109"/>
        <v>37440756.55400151</v>
      </c>
      <c r="M417" s="76">
        <f t="shared" si="109"/>
        <v>36298057.11960827</v>
      </c>
      <c r="N417" s="76">
        <f t="shared" si="109"/>
        <v>28693293.185053904</v>
      </c>
      <c r="O417" s="126">
        <f>SUM(C417:N417)</f>
        <v>237127704.0795699</v>
      </c>
      <c r="P417" s="131">
        <f>O417-'Base Forecast'!O417</f>
        <v>2174845.897249937</v>
      </c>
      <c r="Q417" s="249">
        <f>P417/'Base Forecast'!O417</f>
        <v>0.009256520282729604</v>
      </c>
      <c r="R417" s="126">
        <f>(1+$R$414)*R408</f>
        <v>234952858.8290576</v>
      </c>
      <c r="S417" s="241">
        <f>ROUND(O417-R417,0)</f>
        <v>2174845</v>
      </c>
    </row>
    <row r="418" spans="1:19" ht="11.25">
      <c r="A418" s="18" t="s">
        <v>275</v>
      </c>
      <c r="B418" s="29"/>
      <c r="C418" s="59">
        <f>+C409+C414</f>
        <v>103464568.95516048</v>
      </c>
      <c r="D418" s="59">
        <f>+D409+D414</f>
        <v>121594035.81095761</v>
      </c>
      <c r="E418" s="59">
        <f>+E409+E414</f>
        <v>114487940.16676742</v>
      </c>
      <c r="F418" s="59">
        <f>+F409+F414</f>
        <v>109386855.77869233</v>
      </c>
      <c r="G418" s="59">
        <f>+G409+G414</f>
        <v>111922755.10840385</v>
      </c>
      <c r="H418" s="59">
        <f>+H409+H414</f>
        <v>121469497.8926682</v>
      </c>
      <c r="I418" s="59">
        <f>+I409+I414</f>
        <v>110221350.2324958</v>
      </c>
      <c r="J418" s="59">
        <f>+J409+J414</f>
        <v>95710312.18370846</v>
      </c>
      <c r="K418" s="59">
        <f>+K409+K414</f>
        <v>93603604.12902443</v>
      </c>
      <c r="L418" s="59">
        <f>+L409+L414</f>
        <v>80202750.17119673</v>
      </c>
      <c r="M418" s="59">
        <f>+M409+M414</f>
        <v>86791639.02935773</v>
      </c>
      <c r="N418" s="59">
        <f>+N409+N414</f>
        <v>91289148.1035188</v>
      </c>
      <c r="O418" s="135">
        <f>SUM(C418:N418)</f>
        <v>1240144457.5619516</v>
      </c>
      <c r="P418" s="131">
        <f>O418-'Base Forecast'!O418</f>
        <v>97315.74427175522</v>
      </c>
      <c r="Q418" s="249">
        <f>P418/'Base Forecast'!O418</f>
        <v>7.847745540472625E-05</v>
      </c>
      <c r="R418" s="135">
        <f>(1+$R$414)*R409</f>
        <v>1240047141.1713548</v>
      </c>
      <c r="S418" s="211">
        <f>ROUND(O418-R418,0)</f>
        <v>97316</v>
      </c>
    </row>
    <row r="419" spans="1:19" ht="11.25">
      <c r="A419" s="38" t="s">
        <v>273</v>
      </c>
      <c r="B419" s="34"/>
      <c r="C419" s="78">
        <f>SUM(C417:C418)</f>
        <v>139265704.55605608</v>
      </c>
      <c r="D419" s="78">
        <f aca="true" t="shared" si="110" ref="D419:N419">SUM(D417:D418)</f>
        <v>148130988.08928463</v>
      </c>
      <c r="E419" s="78">
        <f t="shared" si="110"/>
        <v>123387179.56829484</v>
      </c>
      <c r="F419" s="78">
        <f t="shared" si="110"/>
        <v>111488562.49931496</v>
      </c>
      <c r="G419" s="78">
        <f t="shared" si="110"/>
        <v>111327153.09556852</v>
      </c>
      <c r="H419" s="78">
        <f t="shared" si="110"/>
        <v>122112893.07069919</v>
      </c>
      <c r="I419" s="78">
        <f t="shared" si="110"/>
        <v>126083848.37508616</v>
      </c>
      <c r="J419" s="78">
        <f t="shared" si="110"/>
        <v>115997261.03181711</v>
      </c>
      <c r="K419" s="78">
        <f t="shared" si="110"/>
        <v>118762927.19266334</v>
      </c>
      <c r="L419" s="78">
        <f t="shared" si="110"/>
        <v>117643506.72519824</v>
      </c>
      <c r="M419" s="78">
        <f t="shared" si="110"/>
        <v>123089696.148966</v>
      </c>
      <c r="N419" s="78">
        <f t="shared" si="110"/>
        <v>119982441.2885727</v>
      </c>
      <c r="O419" s="39">
        <f>SUM(O417:O418)</f>
        <v>1477272161.6415215</v>
      </c>
      <c r="P419" s="131">
        <f>O419-'Base Forecast'!O419</f>
        <v>2272161.6415216923</v>
      </c>
      <c r="Q419" s="249">
        <f>P419/'Base Forecast'!O419</f>
        <v>0.0015404485705231815</v>
      </c>
      <c r="R419" s="105">
        <f>SUM(R417:R418)</f>
        <v>1475000000.0004125</v>
      </c>
      <c r="S419" s="213">
        <f>ROUND(O419-R419,0)</f>
        <v>2272162</v>
      </c>
    </row>
    <row r="420" spans="1:19" ht="11.25">
      <c r="A420" s="139"/>
      <c r="B420" s="2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97"/>
      <c r="S420" s="50"/>
    </row>
    <row r="421" spans="1:19" ht="11.25">
      <c r="A421" s="3" t="s">
        <v>243</v>
      </c>
      <c r="C421" s="285">
        <f aca="true" t="shared" si="111" ref="C421:O421">C397</f>
        <v>5630528.604122735</v>
      </c>
      <c r="D421" s="114">
        <f t="shared" si="111"/>
        <v>5456765.139644236</v>
      </c>
      <c r="E421" s="114">
        <f t="shared" si="111"/>
        <v>4811197.089344594</v>
      </c>
      <c r="F421" s="114">
        <f t="shared" si="111"/>
        <v>4902607.745818259</v>
      </c>
      <c r="G421" s="114">
        <f t="shared" si="111"/>
        <v>4972392.752910504</v>
      </c>
      <c r="H421" s="115">
        <f t="shared" si="111"/>
        <v>5392624.019038469</v>
      </c>
      <c r="I421" s="114">
        <f t="shared" si="111"/>
        <v>5409177.157763412</v>
      </c>
      <c r="J421" s="114">
        <f t="shared" si="111"/>
        <v>4977522.637930683</v>
      </c>
      <c r="K421" s="114">
        <f t="shared" si="111"/>
        <v>5150142.6992729325</v>
      </c>
      <c r="L421" s="114">
        <f t="shared" si="111"/>
        <v>4834714.178041546</v>
      </c>
      <c r="M421" s="114">
        <f t="shared" si="111"/>
        <v>5006223.999268866</v>
      </c>
      <c r="N421" s="114">
        <f t="shared" si="111"/>
        <v>5090369.797183279</v>
      </c>
      <c r="O421" s="116">
        <f t="shared" si="111"/>
        <v>61634265.82033952</v>
      </c>
      <c r="P421" s="131">
        <f>O421-'Base Forecast'!O421</f>
        <v>49231.740000002086</v>
      </c>
      <c r="Q421" s="249">
        <f>P421/'Base Forecast'!O421</f>
        <v>0.000799410777881162</v>
      </c>
      <c r="S421" s="50"/>
    </row>
    <row r="422" spans="3:19" ht="11.25"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111"/>
      <c r="S422" s="50"/>
    </row>
    <row r="423" spans="1:19" ht="11.25">
      <c r="A423" s="155" t="s">
        <v>285</v>
      </c>
      <c r="B423" s="118"/>
      <c r="C423" s="119">
        <f aca="true" t="shared" si="112" ref="C423:O423">C419/C421</f>
        <v>24.734037307631155</v>
      </c>
      <c r="D423" s="120">
        <f t="shared" si="112"/>
        <v>27.146300839134575</v>
      </c>
      <c r="E423" s="157">
        <f t="shared" si="112"/>
        <v>25.645837673447563</v>
      </c>
      <c r="F423" s="157">
        <f t="shared" si="112"/>
        <v>22.74066543349517</v>
      </c>
      <c r="G423" s="157">
        <f t="shared" si="112"/>
        <v>22.389050629680266</v>
      </c>
      <c r="H423" s="157">
        <f t="shared" si="112"/>
        <v>22.64442924995029</v>
      </c>
      <c r="I423" s="157">
        <f t="shared" si="112"/>
        <v>23.309247358283848</v>
      </c>
      <c r="J423" s="157">
        <f t="shared" si="112"/>
        <v>23.304215665012208</v>
      </c>
      <c r="K423" s="157">
        <f t="shared" si="112"/>
        <v>23.0601235980179</v>
      </c>
      <c r="L423" s="157">
        <f t="shared" si="112"/>
        <v>24.333084106505233</v>
      </c>
      <c r="M423" s="157">
        <f t="shared" si="112"/>
        <v>24.587332921368006</v>
      </c>
      <c r="N423" s="158">
        <f t="shared" si="112"/>
        <v>23.570476422943607</v>
      </c>
      <c r="O423" s="159">
        <f t="shared" si="112"/>
        <v>23.968358217289197</v>
      </c>
      <c r="P423" s="248">
        <f>O423-'Base Forecast'!O423</f>
        <v>0.01773414073484858</v>
      </c>
      <c r="Q423" s="249">
        <f>P423/'Base Forecast'!O423</f>
        <v>0.0007404458722313135</v>
      </c>
      <c r="S423" s="50"/>
    </row>
    <row r="424" ht="11.25">
      <c r="S424" s="50"/>
    </row>
    <row r="425" ht="11.25">
      <c r="S425" s="50"/>
    </row>
    <row r="426" spans="1:19" ht="11.25">
      <c r="A426" s="5" t="s">
        <v>288</v>
      </c>
      <c r="S426" s="50"/>
    </row>
    <row r="427" ht="11.25">
      <c r="S427" s="50"/>
    </row>
    <row r="428" spans="1:19" ht="11.25">
      <c r="A428" s="5" t="s">
        <v>240</v>
      </c>
      <c r="P428" s="288">
        <v>0</v>
      </c>
      <c r="Q428" s="11" t="s">
        <v>378</v>
      </c>
      <c r="R428" s="11" t="s">
        <v>379</v>
      </c>
      <c r="S428" s="50"/>
    </row>
    <row r="429" spans="1:19" ht="11.25">
      <c r="A429" s="15" t="s">
        <v>337</v>
      </c>
      <c r="B429" s="30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92">
        <f>IF(P428=0,R429,IF(P428=1,Q429,"FALSE"))</f>
        <v>0.43284111341301157</v>
      </c>
      <c r="P429" s="289">
        <f>O429-'Base Forecast'!O429</f>
        <v>0</v>
      </c>
      <c r="Q429" s="290">
        <f>0.75*(O381/O385)+0.25*O430</f>
        <v>0.4346268904287711</v>
      </c>
      <c r="R429" s="290">
        <f>'Base Forecast'!O429</f>
        <v>0.43284111341301157</v>
      </c>
      <c r="S429" s="50"/>
    </row>
    <row r="430" spans="1:19" ht="11.25">
      <c r="A430" s="19" t="s">
        <v>241</v>
      </c>
      <c r="B430" s="13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293">
        <f>IF(P428=0,R430,IF(P428=1,Q430,"FALSE"))</f>
        <v>0.42586659116107095</v>
      </c>
      <c r="P430" s="289">
        <f>O430-'Base Forecast'!O430</f>
        <v>0</v>
      </c>
      <c r="Q430" s="290">
        <f>O393/O397</f>
        <v>0.42622127102902946</v>
      </c>
      <c r="R430" s="290">
        <f>'Base Forecast'!O430</f>
        <v>0.42586659116107095</v>
      </c>
      <c r="S430" s="50"/>
    </row>
    <row r="431" ht="11.25">
      <c r="S431" s="50"/>
    </row>
    <row r="432" spans="1:19" ht="11.25">
      <c r="A432" s="110" t="s">
        <v>270</v>
      </c>
      <c r="R432" s="10" t="s">
        <v>278</v>
      </c>
      <c r="S432" s="242" t="s">
        <v>309</v>
      </c>
    </row>
    <row r="433" spans="1:19" ht="11.25">
      <c r="A433" s="15" t="s">
        <v>226</v>
      </c>
      <c r="B433" s="30"/>
      <c r="C433" s="76">
        <f>$O$429*C408</f>
        <v>15826612.205952693</v>
      </c>
      <c r="D433" s="76">
        <f aca="true" t="shared" si="113" ref="D433:N433">$O$429*D408</f>
        <v>11746360.221044052</v>
      </c>
      <c r="E433" s="76">
        <f t="shared" si="113"/>
        <v>3939300.187722277</v>
      </c>
      <c r="F433" s="76">
        <f t="shared" si="113"/>
        <v>930332.7290717565</v>
      </c>
      <c r="G433" s="76">
        <f t="shared" si="113"/>
        <v>-263646.70227516635</v>
      </c>
      <c r="H433" s="76">
        <f t="shared" si="113"/>
        <v>284802.62539763266</v>
      </c>
      <c r="I433" s="76">
        <f t="shared" si="113"/>
        <v>7021627.252788082</v>
      </c>
      <c r="J433" s="76">
        <f t="shared" si="113"/>
        <v>8980136.144213645</v>
      </c>
      <c r="K433" s="76">
        <f t="shared" si="113"/>
        <v>11136920.987938294</v>
      </c>
      <c r="L433" s="76">
        <f t="shared" si="113"/>
        <v>16573369.101220906</v>
      </c>
      <c r="M433" s="76">
        <f t="shared" si="113"/>
        <v>16067546.536694456</v>
      </c>
      <c r="N433" s="76">
        <f t="shared" si="113"/>
        <v>12701253.458902678</v>
      </c>
      <c r="O433" s="183">
        <f>$O$429*O408</f>
        <v>104944614.74867132</v>
      </c>
      <c r="P433" s="85"/>
      <c r="R433" s="136">
        <f>O429*R408</f>
        <v>104003252.3152861</v>
      </c>
      <c r="S433" s="241">
        <f>ROUND(O433-R433,0)</f>
        <v>941362</v>
      </c>
    </row>
    <row r="434" spans="1:19" ht="11.25">
      <c r="A434" s="18" t="s">
        <v>227</v>
      </c>
      <c r="B434" s="29"/>
      <c r="C434" s="59">
        <f>$O$430*C409</f>
        <v>45060206.091558985</v>
      </c>
      <c r="D434" s="59">
        <f aca="true" t="shared" si="114" ref="D434:N434">$O$430*D409</f>
        <v>52957088.4934593</v>
      </c>
      <c r="E434" s="59">
        <f t="shared" si="114"/>
        <v>49862149.249171935</v>
      </c>
      <c r="F434" s="59">
        <f t="shared" si="114"/>
        <v>47640508.86462418</v>
      </c>
      <c r="G434" s="59">
        <f t="shared" si="114"/>
        <v>48744951.74923017</v>
      </c>
      <c r="H434" s="59">
        <f t="shared" si="114"/>
        <v>52902779.3163331</v>
      </c>
      <c r="I434" s="59">
        <f t="shared" si="114"/>
        <v>48003950.52768343</v>
      </c>
      <c r="J434" s="59">
        <f t="shared" si="114"/>
        <v>41684057.40911806</v>
      </c>
      <c r="K434" s="59">
        <f t="shared" si="114"/>
        <v>40766537.26489835</v>
      </c>
      <c r="L434" s="59">
        <f t="shared" si="114"/>
        <v>34930155.029101275</v>
      </c>
      <c r="M434" s="59">
        <f t="shared" si="114"/>
        <v>37799768.71020479</v>
      </c>
      <c r="N434" s="59">
        <f t="shared" si="114"/>
        <v>39758538.06787319</v>
      </c>
      <c r="O434" s="162">
        <f>$O$430*O409</f>
        <v>540110690.7732568</v>
      </c>
      <c r="P434" s="85"/>
      <c r="R434" s="137">
        <f>O430*R409</f>
        <v>540069246.9674878</v>
      </c>
      <c r="S434" s="211">
        <f>ROUND(O434-R434,0)</f>
        <v>41444</v>
      </c>
    </row>
    <row r="435" spans="1:19" ht="11.25">
      <c r="A435" s="38" t="s">
        <v>269</v>
      </c>
      <c r="B435" s="34"/>
      <c r="C435" s="78">
        <f>SUM(C433:C434)</f>
        <v>60886818.29751168</v>
      </c>
      <c r="D435" s="78">
        <f aca="true" t="shared" si="115" ref="D435:N435">SUM(D433:D434)</f>
        <v>64703448.71450335</v>
      </c>
      <c r="E435" s="78">
        <f t="shared" si="115"/>
        <v>53801449.43689421</v>
      </c>
      <c r="F435" s="78">
        <f t="shared" si="115"/>
        <v>48570841.59369594</v>
      </c>
      <c r="G435" s="78">
        <f t="shared" si="115"/>
        <v>48481305.046955004</v>
      </c>
      <c r="H435" s="78">
        <f t="shared" si="115"/>
        <v>53187581.94173073</v>
      </c>
      <c r="I435" s="78">
        <f t="shared" si="115"/>
        <v>55025577.78047151</v>
      </c>
      <c r="J435" s="78">
        <f t="shared" si="115"/>
        <v>50664193.5533317</v>
      </c>
      <c r="K435" s="78">
        <f t="shared" si="115"/>
        <v>51903458.252836645</v>
      </c>
      <c r="L435" s="78">
        <f t="shared" si="115"/>
        <v>51503524.13032218</v>
      </c>
      <c r="M435" s="78">
        <f t="shared" si="115"/>
        <v>53867315.24689925</v>
      </c>
      <c r="N435" s="78">
        <f t="shared" si="115"/>
        <v>52459791.52677587</v>
      </c>
      <c r="O435" s="134">
        <f>SUM(O433:O434)</f>
        <v>645055305.5219281</v>
      </c>
      <c r="P435" s="85"/>
      <c r="Q435" s="150"/>
      <c r="R435" s="39">
        <f>SUM(R433:R434)</f>
        <v>644072499.282774</v>
      </c>
      <c r="S435" s="213">
        <f>ROUND(O435-R435,0)</f>
        <v>982806</v>
      </c>
    </row>
    <row r="436" spans="3:19" ht="11.25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Q436" s="151"/>
      <c r="S436" s="50"/>
    </row>
    <row r="437" spans="1:19" ht="11.25">
      <c r="A437" s="5" t="s">
        <v>418</v>
      </c>
      <c r="S437" s="50"/>
    </row>
    <row r="438" spans="1:19" ht="11.25">
      <c r="A438" s="345" t="s">
        <v>226</v>
      </c>
      <c r="B438" s="347"/>
      <c r="C438" s="351">
        <f>+'Base Forecast'!C433*'Base Forecast'!$O$439</f>
        <v>-347053.65764766786</v>
      </c>
      <c r="D438" s="352">
        <f>+'Base Forecast'!D433*'Base Forecast'!$O$439</f>
        <v>-273177.9871714469</v>
      </c>
      <c r="E438" s="352">
        <f>+'Base Forecast'!E433*'Base Forecast'!$O$439</f>
        <v>-91743.55818960564</v>
      </c>
      <c r="F438" s="352">
        <f>+'Base Forecast'!F433*'Base Forecast'!$O$439</f>
        <v>-21666.801410897373</v>
      </c>
      <c r="G438" s="352">
        <f>+'Base Forecast'!G433*'Base Forecast'!$O$439</f>
        <v>6140.148102210234</v>
      </c>
      <c r="H438" s="352">
        <f>+'Base Forecast'!H433*'Base Forecast'!$O$439</f>
        <v>-6632.8548195328</v>
      </c>
      <c r="I438" s="352">
        <f>+'Base Forecast'!I433*'Base Forecast'!$O$439</f>
        <v>-163528.80911681868</v>
      </c>
      <c r="J438" s="352">
        <f>+'Base Forecast'!J433*'Base Forecast'!$O$439</f>
        <v>-209141.11736521684</v>
      </c>
      <c r="K438" s="352">
        <f>+'Base Forecast'!K433*'Base Forecast'!$O$439</f>
        <v>-259371.1344706464</v>
      </c>
      <c r="L438" s="352">
        <f>+'Base Forecast'!L433*'Base Forecast'!$O$439</f>
        <v>-385982.2252883025</v>
      </c>
      <c r="M438" s="352">
        <f>+'Base Forecast'!M433*'Base Forecast'!$O$439</f>
        <v>-374201.9699965422</v>
      </c>
      <c r="N438" s="353">
        <f>+'Base Forecast'!N433*'Base Forecast'!$O$439</f>
        <v>-295803.3483763333</v>
      </c>
      <c r="O438" s="349">
        <f>'Base Forecast'!O438</f>
        <v>-15000000</v>
      </c>
      <c r="P438" s="133" t="s">
        <v>267</v>
      </c>
      <c r="S438" s="50"/>
    </row>
    <row r="439" spans="1:19" ht="11.25">
      <c r="A439" s="346" t="s">
        <v>227</v>
      </c>
      <c r="B439" s="348"/>
      <c r="C439" s="354">
        <f>+'Base Forecast'!C434*'Base Forecast'!$O$439</f>
        <v>-1048383.7522709593</v>
      </c>
      <c r="D439" s="355">
        <f>+'Base Forecast'!D434*'Base Forecast'!$O$439</f>
        <v>-1233405.6359493672</v>
      </c>
      <c r="E439" s="355">
        <f>+'Base Forecast'!E434*'Base Forecast'!$O$439</f>
        <v>-1161254.7308566333</v>
      </c>
      <c r="F439" s="355">
        <f>+'Base Forecast'!F434*'Base Forecast'!$O$439</f>
        <v>-1109514.2705656157</v>
      </c>
      <c r="G439" s="355">
        <f>+'Base Forecast'!G434*'Base Forecast'!$O$439</f>
        <v>-1135235.9764704427</v>
      </c>
      <c r="H439" s="355">
        <f>+'Base Forecast'!H434*'Base Forecast'!$O$439</f>
        <v>-1232068.8864597117</v>
      </c>
      <c r="I439" s="355">
        <f>+'Base Forecast'!I434*'Base Forecast'!$O$439</f>
        <v>-1117978.577119907</v>
      </c>
      <c r="J439" s="355">
        <f>+'Base Forecast'!J434*'Base Forecast'!$O$439</f>
        <v>-970792.6652896901</v>
      </c>
      <c r="K439" s="355">
        <f>+'Base Forecast'!K434*'Base Forecast'!$O$439</f>
        <v>-949424.260775706</v>
      </c>
      <c r="L439" s="355">
        <f>+'Base Forecast'!L434*'Base Forecast'!$O$439</f>
        <v>-813498.9822816633</v>
      </c>
      <c r="M439" s="355">
        <f>+'Base Forecast'!M434*'Base Forecast'!$O$439</f>
        <v>-880330.2845838552</v>
      </c>
      <c r="N439" s="356">
        <f>+'Base Forecast'!N434*'Base Forecast'!$O$439</f>
        <v>-925948.6616256605</v>
      </c>
      <c r="O439" s="350">
        <f>(O435+O438)/O435-1</f>
        <v>-0.02325382005479848</v>
      </c>
      <c r="R439" s="160">
        <f>(R435+O438)/R435-1</f>
        <v>-0.02328930363694104</v>
      </c>
      <c r="S439" s="50"/>
    </row>
    <row r="440" spans="1:19" ht="11.25">
      <c r="A440" s="139"/>
      <c r="B440" s="2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148"/>
      <c r="S440" s="50"/>
    </row>
    <row r="441" spans="1:19" ht="11.25">
      <c r="A441" s="5" t="s">
        <v>338</v>
      </c>
      <c r="S441" s="50"/>
    </row>
    <row r="442" spans="1:19" ht="11.25">
      <c r="A442" s="15" t="s">
        <v>226</v>
      </c>
      <c r="B442" s="30"/>
      <c r="C442" s="76">
        <f aca="true" t="shared" si="116" ref="C442:N442">+C433+C438</f>
        <v>15479558.548305025</v>
      </c>
      <c r="D442" s="76">
        <f t="shared" si="116"/>
        <v>11473182.233872605</v>
      </c>
      <c r="E442" s="76">
        <f t="shared" si="116"/>
        <v>3847556.629532671</v>
      </c>
      <c r="F442" s="76">
        <f t="shared" si="116"/>
        <v>908665.9276608591</v>
      </c>
      <c r="G442" s="76">
        <f t="shared" si="116"/>
        <v>-257506.55417295612</v>
      </c>
      <c r="H442" s="76">
        <f t="shared" si="116"/>
        <v>278169.7705780999</v>
      </c>
      <c r="I442" s="76">
        <f t="shared" si="116"/>
        <v>6858098.443671263</v>
      </c>
      <c r="J442" s="76">
        <f t="shared" si="116"/>
        <v>8770995.026848428</v>
      </c>
      <c r="K442" s="76">
        <f t="shared" si="116"/>
        <v>10877549.853467647</v>
      </c>
      <c r="L442" s="76">
        <f t="shared" si="116"/>
        <v>16187386.875932604</v>
      </c>
      <c r="M442" s="76">
        <f t="shared" si="116"/>
        <v>15693344.566697914</v>
      </c>
      <c r="N442" s="76">
        <f t="shared" si="116"/>
        <v>12405450.110526344</v>
      </c>
      <c r="O442" s="126">
        <f>SUM(C442:N442)</f>
        <v>102522451.4329205</v>
      </c>
      <c r="P442" s="131">
        <f>O442-'Base Forecast'!O442</f>
        <v>941362.71966739</v>
      </c>
      <c r="Q442" s="249">
        <f>P442/'Base Forecast'!O442</f>
        <v>0.009267106029201005</v>
      </c>
      <c r="R442" s="126">
        <f>(1+$R$439)*R433</f>
        <v>101581088.992886</v>
      </c>
      <c r="S442" s="241">
        <f>ROUND(O442-R442,0)</f>
        <v>941362</v>
      </c>
    </row>
    <row r="443" spans="1:19" ht="11.25">
      <c r="A443" s="18" t="s">
        <v>227</v>
      </c>
      <c r="B443" s="29"/>
      <c r="C443" s="59">
        <f aca="true" t="shared" si="117" ref="C443:N443">+C434+C439</f>
        <v>44011822.339288026</v>
      </c>
      <c r="D443" s="59">
        <f t="shared" si="117"/>
        <v>51723682.85750993</v>
      </c>
      <c r="E443" s="59">
        <f t="shared" si="117"/>
        <v>48700894.5183153</v>
      </c>
      <c r="F443" s="59">
        <f t="shared" si="117"/>
        <v>46530994.594058566</v>
      </c>
      <c r="G443" s="59">
        <f t="shared" si="117"/>
        <v>47609715.77275973</v>
      </c>
      <c r="H443" s="59">
        <f t="shared" si="117"/>
        <v>51670710.42987339</v>
      </c>
      <c r="I443" s="59">
        <f t="shared" si="117"/>
        <v>46885971.95056352</v>
      </c>
      <c r="J443" s="59">
        <f t="shared" si="117"/>
        <v>40713264.74382836</v>
      </c>
      <c r="K443" s="59">
        <f t="shared" si="117"/>
        <v>39817113.004122645</v>
      </c>
      <c r="L443" s="59">
        <f t="shared" si="117"/>
        <v>34116656.04681961</v>
      </c>
      <c r="M443" s="59">
        <f t="shared" si="117"/>
        <v>36919438.425620936</v>
      </c>
      <c r="N443" s="59">
        <f t="shared" si="117"/>
        <v>38832589.40624753</v>
      </c>
      <c r="O443" s="135">
        <f>SUM(C443:N443)</f>
        <v>527532854.0890076</v>
      </c>
      <c r="P443" s="131">
        <f>O443-'Base Forecast'!O443</f>
        <v>41443.52427941561</v>
      </c>
      <c r="Q443" s="249">
        <f>P443/'Base Forecast'!O443</f>
        <v>7.856720213708597E-05</v>
      </c>
      <c r="R443" s="135">
        <f>(1+$R$439)*R434</f>
        <v>527491410.2898879</v>
      </c>
      <c r="S443" s="211">
        <f>ROUND(O443-R443,0)</f>
        <v>41444</v>
      </c>
    </row>
    <row r="444" spans="1:19" ht="11.25">
      <c r="A444" s="250" t="s">
        <v>283</v>
      </c>
      <c r="B444" s="99"/>
      <c r="C444" s="68">
        <f aca="true" t="shared" si="118" ref="C444:O444">SUM(C442:C443)</f>
        <v>59491380.88759305</v>
      </c>
      <c r="D444" s="68">
        <f t="shared" si="118"/>
        <v>63196865.09138254</v>
      </c>
      <c r="E444" s="68">
        <f t="shared" si="118"/>
        <v>52548451.14784797</v>
      </c>
      <c r="F444" s="68">
        <f t="shared" si="118"/>
        <v>47439660.521719426</v>
      </c>
      <c r="G444" s="68">
        <f t="shared" si="118"/>
        <v>47352209.21858677</v>
      </c>
      <c r="H444" s="68">
        <f t="shared" si="118"/>
        <v>51948880.20045149</v>
      </c>
      <c r="I444" s="68">
        <f t="shared" si="118"/>
        <v>53744070.394234784</v>
      </c>
      <c r="J444" s="68">
        <f t="shared" si="118"/>
        <v>49484259.77067679</v>
      </c>
      <c r="K444" s="68">
        <f t="shared" si="118"/>
        <v>50694662.85759029</v>
      </c>
      <c r="L444" s="68">
        <f t="shared" si="118"/>
        <v>50304042.92275222</v>
      </c>
      <c r="M444" s="68">
        <f t="shared" si="118"/>
        <v>52612782.992318854</v>
      </c>
      <c r="N444" s="68">
        <f t="shared" si="118"/>
        <v>51238039.51677387</v>
      </c>
      <c r="O444" s="105">
        <f t="shared" si="118"/>
        <v>630055305.5219281</v>
      </c>
      <c r="P444" s="131">
        <f>O444-'Base Forecast'!O444</f>
        <v>982806.2439467907</v>
      </c>
      <c r="Q444" s="249">
        <f>P444/'Base Forecast'!O444</f>
        <v>0.001562309980288135</v>
      </c>
      <c r="R444" s="105">
        <f>SUM(R442:R443)</f>
        <v>629072499.282774</v>
      </c>
      <c r="S444" s="213">
        <f>ROUND(O444-R444,0)</f>
        <v>982806</v>
      </c>
    </row>
    <row r="445" spans="3:15" ht="11.25">
      <c r="C445" s="112"/>
      <c r="D445" s="112"/>
      <c r="E445" s="112">
        <f>+E444-'Base Forecast'!E444</f>
        <v>0.12909123301506042</v>
      </c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7" ht="11.25">
      <c r="A446" s="3" t="s">
        <v>242</v>
      </c>
      <c r="C446" s="113">
        <f>C$393</f>
        <v>2529895.4391636034</v>
      </c>
      <c r="D446" s="114">
        <f aca="true" t="shared" si="119" ref="D446:O446">D$393</f>
        <v>2438509.7444056342</v>
      </c>
      <c r="E446" s="114">
        <f t="shared" si="119"/>
        <v>2080961.8373600258</v>
      </c>
      <c r="F446" s="114">
        <f t="shared" si="119"/>
        <v>2071429.3328379635</v>
      </c>
      <c r="G446" s="114">
        <f t="shared" si="119"/>
        <v>2071815.7681234297</v>
      </c>
      <c r="H446" s="115">
        <f t="shared" si="119"/>
        <v>2188690.6580353575</v>
      </c>
      <c r="I446" s="114">
        <f t="shared" si="119"/>
        <v>2214778.992962022</v>
      </c>
      <c r="J446" s="114">
        <f t="shared" si="119"/>
        <v>2061686.698582105</v>
      </c>
      <c r="K446" s="114">
        <f t="shared" si="119"/>
        <v>2151582.6614674903</v>
      </c>
      <c r="L446" s="114">
        <f t="shared" si="119"/>
        <v>2067721.3107937044</v>
      </c>
      <c r="M446" s="114">
        <f t="shared" si="119"/>
        <v>2144934.3661793056</v>
      </c>
      <c r="N446" s="114">
        <f t="shared" si="119"/>
        <v>2247828.3069755384</v>
      </c>
      <c r="O446" s="116">
        <f t="shared" si="119"/>
        <v>26269835.11688618</v>
      </c>
      <c r="P446" s="131">
        <f>O446-'Base Forecast'!O446</f>
        <v>42826.586553607136</v>
      </c>
      <c r="Q446" s="249">
        <f>P446/'Base Forecast'!O446</f>
        <v>0.001632919229201321</v>
      </c>
    </row>
    <row r="447" spans="3:15" ht="11.25"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111"/>
    </row>
    <row r="448" spans="1:17" ht="11.25">
      <c r="A448" s="117" t="s">
        <v>284</v>
      </c>
      <c r="B448" s="118"/>
      <c r="C448" s="119">
        <f>C444/C446</f>
        <v>23.51535164918168</v>
      </c>
      <c r="D448" s="120">
        <f aca="true" t="shared" si="120" ref="D448:N448">D444/D446</f>
        <v>25.916183126340645</v>
      </c>
      <c r="E448" s="120">
        <f t="shared" si="120"/>
        <v>25.252001360348157</v>
      </c>
      <c r="F448" s="120">
        <f t="shared" si="120"/>
        <v>22.90189666124148</v>
      </c>
      <c r="G448" s="120">
        <f t="shared" si="120"/>
        <v>22.855415016691644</v>
      </c>
      <c r="H448" s="120">
        <f t="shared" si="120"/>
        <v>23.735140463880153</v>
      </c>
      <c r="I448" s="120">
        <f t="shared" si="120"/>
        <v>24.26610987598272</v>
      </c>
      <c r="J448" s="120">
        <f t="shared" si="120"/>
        <v>24.001832967496405</v>
      </c>
      <c r="K448" s="120">
        <f t="shared" si="120"/>
        <v>23.561568777010834</v>
      </c>
      <c r="L448" s="120">
        <f t="shared" si="120"/>
        <v>24.32825093989227</v>
      </c>
      <c r="M448" s="120">
        <f t="shared" si="120"/>
        <v>24.528854505714367</v>
      </c>
      <c r="N448" s="121">
        <f t="shared" si="120"/>
        <v>22.794463152621674</v>
      </c>
      <c r="O448" s="122">
        <f>O444/O446</f>
        <v>23.983984015070206</v>
      </c>
      <c r="P448" s="132"/>
      <c r="Q448" s="1"/>
    </row>
    <row r="449" ht="11.25">
      <c r="P449" s="110"/>
    </row>
    <row r="450" ht="11.25">
      <c r="P450" s="110"/>
    </row>
    <row r="451" spans="1:19" ht="11.25">
      <c r="A451" s="7" t="s">
        <v>340</v>
      </c>
      <c r="B451" s="59"/>
      <c r="D451" s="231" t="s">
        <v>340</v>
      </c>
      <c r="E451" s="233"/>
      <c r="F451" s="233"/>
      <c r="G451" s="231" t="s">
        <v>340</v>
      </c>
      <c r="H451" s="233"/>
      <c r="I451" s="233"/>
      <c r="J451" s="233"/>
      <c r="K451" s="231" t="s">
        <v>340</v>
      </c>
      <c r="L451" s="233"/>
      <c r="M451" s="233"/>
      <c r="N451" s="231" t="s">
        <v>340</v>
      </c>
      <c r="O451" s="59"/>
      <c r="P451" s="59"/>
      <c r="Q451" s="59"/>
      <c r="R451" s="59"/>
      <c r="S451" s="59"/>
    </row>
    <row r="452" ht="11.25">
      <c r="P452" s="110"/>
    </row>
    <row r="453" ht="11.25">
      <c r="P453" s="110"/>
    </row>
    <row r="454" spans="1:19" ht="11.25">
      <c r="A454" s="41" t="s">
        <v>364</v>
      </c>
      <c r="B454" s="42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44"/>
      <c r="P454" s="84"/>
      <c r="Q454" s="43"/>
      <c r="R454" s="43"/>
      <c r="S454" s="43"/>
    </row>
    <row r="455" ht="11.25">
      <c r="P455" s="110"/>
    </row>
    <row r="456" spans="1:16" ht="11.25">
      <c r="A456" s="5" t="s">
        <v>341</v>
      </c>
      <c r="P456" s="110"/>
    </row>
    <row r="458" spans="1:16" ht="11.25">
      <c r="A458" s="155" t="s">
        <v>285</v>
      </c>
      <c r="B458" s="118"/>
      <c r="C458" s="156">
        <f>C423</f>
        <v>24.734037307631155</v>
      </c>
      <c r="D458" s="157">
        <f aca="true" t="shared" si="121" ref="D458:O458">D423</f>
        <v>27.146300839134575</v>
      </c>
      <c r="E458" s="157">
        <f t="shared" si="121"/>
        <v>25.645837673447563</v>
      </c>
      <c r="F458" s="157">
        <f t="shared" si="121"/>
        <v>22.74066543349517</v>
      </c>
      <c r="G458" s="157">
        <f t="shared" si="121"/>
        <v>22.389050629680266</v>
      </c>
      <c r="H458" s="157">
        <f t="shared" si="121"/>
        <v>22.64442924995029</v>
      </c>
      <c r="I458" s="157">
        <f t="shared" si="121"/>
        <v>23.309247358283848</v>
      </c>
      <c r="J458" s="157">
        <f t="shared" si="121"/>
        <v>23.304215665012208</v>
      </c>
      <c r="K458" s="157">
        <f t="shared" si="121"/>
        <v>23.0601235980179</v>
      </c>
      <c r="L458" s="157">
        <f t="shared" si="121"/>
        <v>24.333084106505233</v>
      </c>
      <c r="M458" s="157">
        <f t="shared" si="121"/>
        <v>24.587332921368006</v>
      </c>
      <c r="N458" s="158">
        <f t="shared" si="121"/>
        <v>23.570476422943607</v>
      </c>
      <c r="O458" s="159">
        <f t="shared" si="121"/>
        <v>23.968358217289197</v>
      </c>
      <c r="P458" s="132"/>
    </row>
    <row r="459" spans="16:18" ht="11.25">
      <c r="P459" s="288">
        <v>0</v>
      </c>
      <c r="Q459" s="11" t="s">
        <v>378</v>
      </c>
      <c r="R459" s="11" t="s">
        <v>379</v>
      </c>
    </row>
    <row r="460" spans="1:18" ht="11.25">
      <c r="A460" s="3" t="s">
        <v>245</v>
      </c>
      <c r="N460" s="161"/>
      <c r="O460" s="291">
        <f>IF(P459=0,R460,IF(P459=1,Q460,"FALSE"))</f>
        <v>1.0001400533189024</v>
      </c>
      <c r="P460" s="270">
        <f>O460-'Base Forecast'!O460</f>
        <v>0</v>
      </c>
      <c r="Q460" s="287">
        <f>O444/(C458*C464+D458*D464+E458*E464+F458*F464+G458*G464+H458*H464+I458*I464+J458*J464+K458*K464+L458*L464+M458*M464+N458*N464)</f>
        <v>0.9992731440541334</v>
      </c>
      <c r="R460" s="287">
        <f>'Base Forecast'!O460</f>
        <v>1.0001400533189024</v>
      </c>
    </row>
    <row r="461" spans="15:16" ht="11.25">
      <c r="O461" s="145"/>
      <c r="P461" s="132"/>
    </row>
    <row r="462" spans="1:16" ht="11.25">
      <c r="A462" s="117" t="s">
        <v>346</v>
      </c>
      <c r="B462" s="251"/>
      <c r="C462" s="119">
        <f>$O$460*C458</f>
        <v>24.737501391645946</v>
      </c>
      <c r="D462" s="120">
        <f aca="true" t="shared" si="122" ref="D462:N462">$O$460*D458</f>
        <v>27.15010276866302</v>
      </c>
      <c r="E462" s="120">
        <f t="shared" si="122"/>
        <v>25.649429458129763</v>
      </c>
      <c r="F462" s="120">
        <f t="shared" si="122"/>
        <v>22.74385033916318</v>
      </c>
      <c r="G462" s="120">
        <f t="shared" si="122"/>
        <v>22.392186290528027</v>
      </c>
      <c r="H462" s="120">
        <f t="shared" si="122"/>
        <v>22.647600677421394</v>
      </c>
      <c r="I462" s="120">
        <f t="shared" si="122"/>
        <v>23.312511895737494</v>
      </c>
      <c r="J462" s="120">
        <f t="shared" si="122"/>
        <v>23.30747949776051</v>
      </c>
      <c r="K462" s="120">
        <f t="shared" si="122"/>
        <v>23.063353244862103</v>
      </c>
      <c r="L462" s="120">
        <f t="shared" si="122"/>
        <v>24.33649203569348</v>
      </c>
      <c r="M462" s="120">
        <f t="shared" si="122"/>
        <v>24.590776458946603</v>
      </c>
      <c r="N462" s="121">
        <f t="shared" si="122"/>
        <v>23.57377754639475</v>
      </c>
      <c r="O462" s="159">
        <f>O466/O464</f>
        <v>24.00479107675545</v>
      </c>
      <c r="P462" s="132"/>
    </row>
    <row r="464" spans="1:17" ht="11.25">
      <c r="A464" s="3" t="s">
        <v>242</v>
      </c>
      <c r="C464" s="113">
        <f>C$393</f>
        <v>2529895.4391636034</v>
      </c>
      <c r="D464" s="114">
        <f aca="true" t="shared" si="123" ref="D464:O464">D$393</f>
        <v>2438509.7444056342</v>
      </c>
      <c r="E464" s="114">
        <f t="shared" si="123"/>
        <v>2080961.8373600258</v>
      </c>
      <c r="F464" s="114">
        <f t="shared" si="123"/>
        <v>2071429.3328379635</v>
      </c>
      <c r="G464" s="114">
        <f t="shared" si="123"/>
        <v>2071815.7681234297</v>
      </c>
      <c r="H464" s="115">
        <f t="shared" si="123"/>
        <v>2188690.6580353575</v>
      </c>
      <c r="I464" s="114">
        <f t="shared" si="123"/>
        <v>2214778.992962022</v>
      </c>
      <c r="J464" s="114">
        <f t="shared" si="123"/>
        <v>2061686.698582105</v>
      </c>
      <c r="K464" s="114">
        <f t="shared" si="123"/>
        <v>2151582.6614674903</v>
      </c>
      <c r="L464" s="114">
        <f t="shared" si="123"/>
        <v>2067721.3107937044</v>
      </c>
      <c r="M464" s="114">
        <f t="shared" si="123"/>
        <v>2144934.3661793056</v>
      </c>
      <c r="N464" s="114">
        <f t="shared" si="123"/>
        <v>2247828.3069755384</v>
      </c>
      <c r="O464" s="116">
        <f t="shared" si="123"/>
        <v>26269835.11688618</v>
      </c>
      <c r="P464" s="132"/>
      <c r="Q464" s="1"/>
    </row>
    <row r="465" spans="3:15" ht="11.25"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111"/>
    </row>
    <row r="466" spans="1:17" ht="11.25">
      <c r="A466" s="38" t="s">
        <v>286</v>
      </c>
      <c r="B466" s="34"/>
      <c r="C466" s="78">
        <f>C462*C464</f>
        <v>62583291.94702837</v>
      </c>
      <c r="D466" s="78">
        <f aca="true" t="shared" si="124" ref="D466:N466">D462*D464</f>
        <v>66205790.16299917</v>
      </c>
      <c r="E466" s="78">
        <f t="shared" si="124"/>
        <v>53375483.85242608</v>
      </c>
      <c r="F466" s="78">
        <f t="shared" si="124"/>
        <v>47112278.734219275</v>
      </c>
      <c r="G466" s="78">
        <f t="shared" si="124"/>
        <v>46392484.63947326</v>
      </c>
      <c r="H466" s="78">
        <f t="shared" si="124"/>
        <v>49568592.02958744</v>
      </c>
      <c r="I466" s="78">
        <f t="shared" si="124"/>
        <v>51632061.61985664</v>
      </c>
      <c r="J466" s="78">
        <f t="shared" si="124"/>
        <v>48052720.45800797</v>
      </c>
      <c r="K466" s="78">
        <f t="shared" si="124"/>
        <v>49622710.956945285</v>
      </c>
      <c r="L466" s="78">
        <f t="shared" si="124"/>
        <v>50321083.21216467</v>
      </c>
      <c r="M466" s="78">
        <f t="shared" si="124"/>
        <v>52745601.51782762</v>
      </c>
      <c r="N466" s="78">
        <f t="shared" si="124"/>
        <v>52989804.471130475</v>
      </c>
      <c r="O466" s="134">
        <f>SUM(C466:N466)</f>
        <v>630601903.6016663</v>
      </c>
      <c r="P466" s="132"/>
      <c r="Q466" s="1"/>
    </row>
    <row r="467" spans="3:14" ht="11.25"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</row>
    <row r="469" spans="1:16" ht="11.25">
      <c r="A469" s="5" t="s">
        <v>342</v>
      </c>
      <c r="P469" s="110"/>
    </row>
    <row r="471" ht="11.25">
      <c r="A471" s="5" t="s">
        <v>344</v>
      </c>
    </row>
    <row r="472" spans="1:16" ht="11.25">
      <c r="A472" s="15" t="s">
        <v>254</v>
      </c>
      <c r="B472" s="30"/>
      <c r="C472" s="76">
        <f>$O472/12</f>
        <v>5232462.166666667</v>
      </c>
      <c r="D472" s="76">
        <f aca="true" t="shared" si="125" ref="D472:N473">$O472/12</f>
        <v>5232462.166666667</v>
      </c>
      <c r="E472" s="76">
        <f t="shared" si="125"/>
        <v>5232462.166666667</v>
      </c>
      <c r="F472" s="76">
        <f t="shared" si="125"/>
        <v>5232462.166666667</v>
      </c>
      <c r="G472" s="76">
        <f t="shared" si="125"/>
        <v>5232462.166666667</v>
      </c>
      <c r="H472" s="76">
        <f t="shared" si="125"/>
        <v>5232462.166666667</v>
      </c>
      <c r="I472" s="76">
        <f t="shared" si="125"/>
        <v>5232462.166666667</v>
      </c>
      <c r="J472" s="76">
        <f t="shared" si="125"/>
        <v>5232462.166666667</v>
      </c>
      <c r="K472" s="76">
        <f t="shared" si="125"/>
        <v>5232462.166666667</v>
      </c>
      <c r="L472" s="76">
        <f t="shared" si="125"/>
        <v>5232462.166666667</v>
      </c>
      <c r="M472" s="76">
        <f t="shared" si="125"/>
        <v>5232462.166666667</v>
      </c>
      <c r="N472" s="76">
        <f t="shared" si="125"/>
        <v>5232462.166666667</v>
      </c>
      <c r="O472" s="108">
        <v>62789546</v>
      </c>
      <c r="P472" s="132"/>
    </row>
    <row r="473" spans="1:16" ht="11.25">
      <c r="A473" s="18" t="s">
        <v>255</v>
      </c>
      <c r="B473" s="29"/>
      <c r="C473" s="59">
        <f>$O473/12</f>
        <v>642594.6666666666</v>
      </c>
      <c r="D473" s="59">
        <f t="shared" si="125"/>
        <v>642594.6666666666</v>
      </c>
      <c r="E473" s="59">
        <f t="shared" si="125"/>
        <v>642594.6666666666</v>
      </c>
      <c r="F473" s="59">
        <f t="shared" si="125"/>
        <v>642594.6666666666</v>
      </c>
      <c r="G473" s="59">
        <f t="shared" si="125"/>
        <v>642594.6666666666</v>
      </c>
      <c r="H473" s="59">
        <f t="shared" si="125"/>
        <v>642594.6666666666</v>
      </c>
      <c r="I473" s="59">
        <f t="shared" si="125"/>
        <v>642594.6666666666</v>
      </c>
      <c r="J473" s="59">
        <f t="shared" si="125"/>
        <v>642594.6666666666</v>
      </c>
      <c r="K473" s="59">
        <f t="shared" si="125"/>
        <v>642594.6666666666</v>
      </c>
      <c r="L473" s="59">
        <f t="shared" si="125"/>
        <v>642594.6666666666</v>
      </c>
      <c r="M473" s="59">
        <f t="shared" si="125"/>
        <v>642594.6666666666</v>
      </c>
      <c r="N473" s="59">
        <f t="shared" si="125"/>
        <v>642594.6666666666</v>
      </c>
      <c r="O473" s="109">
        <v>7711136</v>
      </c>
      <c r="P473" s="132"/>
    </row>
    <row r="474" spans="1:16" ht="11.25">
      <c r="A474" s="38" t="s">
        <v>256</v>
      </c>
      <c r="B474" s="34"/>
      <c r="C474" s="78">
        <f>SUM(C472:C473)</f>
        <v>5875056.833333334</v>
      </c>
      <c r="D474" s="78">
        <f aca="true" t="shared" si="126" ref="D474:O474">SUM(D472:D473)</f>
        <v>5875056.833333334</v>
      </c>
      <c r="E474" s="78">
        <f t="shared" si="126"/>
        <v>5875056.833333334</v>
      </c>
      <c r="F474" s="78">
        <f t="shared" si="126"/>
        <v>5875056.833333334</v>
      </c>
      <c r="G474" s="78">
        <f t="shared" si="126"/>
        <v>5875056.833333334</v>
      </c>
      <c r="H474" s="78">
        <f t="shared" si="126"/>
        <v>5875056.833333334</v>
      </c>
      <c r="I474" s="78">
        <f t="shared" si="126"/>
        <v>5875056.833333334</v>
      </c>
      <c r="J474" s="78">
        <f t="shared" si="126"/>
        <v>5875056.833333334</v>
      </c>
      <c r="K474" s="78">
        <f t="shared" si="126"/>
        <v>5875056.833333334</v>
      </c>
      <c r="L474" s="78">
        <f t="shared" si="126"/>
        <v>5875056.833333334</v>
      </c>
      <c r="M474" s="78">
        <f t="shared" si="126"/>
        <v>5875056.833333334</v>
      </c>
      <c r="N474" s="78">
        <f t="shared" si="126"/>
        <v>5875056.833333334</v>
      </c>
      <c r="O474" s="134">
        <f t="shared" si="126"/>
        <v>70500682</v>
      </c>
      <c r="P474" s="132"/>
    </row>
    <row r="476" ht="11.25">
      <c r="A476" s="5" t="s">
        <v>345</v>
      </c>
    </row>
    <row r="477" spans="1:16" ht="11.25">
      <c r="A477" s="15" t="s">
        <v>257</v>
      </c>
      <c r="B477" s="21" t="s">
        <v>61</v>
      </c>
      <c r="C477" s="76">
        <f aca="true" t="shared" si="127" ref="C477:N477">$O$429*C472</f>
        <v>2264824.750111459</v>
      </c>
      <c r="D477" s="76">
        <f t="shared" si="127"/>
        <v>2264824.750111459</v>
      </c>
      <c r="E477" s="76">
        <f t="shared" si="127"/>
        <v>2264824.750111459</v>
      </c>
      <c r="F477" s="76">
        <f t="shared" si="127"/>
        <v>2264824.750111459</v>
      </c>
      <c r="G477" s="76">
        <f t="shared" si="127"/>
        <v>2264824.750111459</v>
      </c>
      <c r="H477" s="76">
        <f t="shared" si="127"/>
        <v>2264824.750111459</v>
      </c>
      <c r="I477" s="76">
        <f t="shared" si="127"/>
        <v>2264824.750111459</v>
      </c>
      <c r="J477" s="76">
        <f t="shared" si="127"/>
        <v>2264824.750111459</v>
      </c>
      <c r="K477" s="76">
        <f t="shared" si="127"/>
        <v>2264824.750111459</v>
      </c>
      <c r="L477" s="76">
        <f t="shared" si="127"/>
        <v>2264824.750111459</v>
      </c>
      <c r="M477" s="76">
        <f t="shared" si="127"/>
        <v>2264824.750111459</v>
      </c>
      <c r="N477" s="76">
        <f t="shared" si="127"/>
        <v>2264824.750111459</v>
      </c>
      <c r="O477" s="126">
        <f>SUM(C477:N477)</f>
        <v>27177897.001337513</v>
      </c>
      <c r="P477" s="132"/>
    </row>
    <row r="478" spans="1:16" ht="11.25">
      <c r="A478" s="18" t="s">
        <v>258</v>
      </c>
      <c r="B478" s="27" t="s">
        <v>63</v>
      </c>
      <c r="C478" s="59">
        <f aca="true" t="shared" si="128" ref="C478:N478">$O$430*C473</f>
        <v>273659.60019161797</v>
      </c>
      <c r="D478" s="59">
        <f t="shared" si="128"/>
        <v>273659.60019161797</v>
      </c>
      <c r="E478" s="59">
        <f t="shared" si="128"/>
        <v>273659.60019161797</v>
      </c>
      <c r="F478" s="59">
        <f t="shared" si="128"/>
        <v>273659.60019161797</v>
      </c>
      <c r="G478" s="59">
        <f t="shared" si="128"/>
        <v>273659.60019161797</v>
      </c>
      <c r="H478" s="59">
        <f t="shared" si="128"/>
        <v>273659.60019161797</v>
      </c>
      <c r="I478" s="59">
        <f t="shared" si="128"/>
        <v>273659.60019161797</v>
      </c>
      <c r="J478" s="59">
        <f t="shared" si="128"/>
        <v>273659.60019161797</v>
      </c>
      <c r="K478" s="59">
        <f t="shared" si="128"/>
        <v>273659.60019161797</v>
      </c>
      <c r="L478" s="59">
        <f t="shared" si="128"/>
        <v>273659.60019161797</v>
      </c>
      <c r="M478" s="59">
        <f t="shared" si="128"/>
        <v>273659.60019161797</v>
      </c>
      <c r="N478" s="59">
        <f t="shared" si="128"/>
        <v>273659.60019161797</v>
      </c>
      <c r="O478" s="135">
        <f>SUM(C478:N478)</f>
        <v>3283915.2022994147</v>
      </c>
      <c r="P478" s="132"/>
    </row>
    <row r="479" spans="1:16" ht="11.25">
      <c r="A479" s="38" t="s">
        <v>259</v>
      </c>
      <c r="B479" s="34"/>
      <c r="C479" s="78">
        <f aca="true" t="shared" si="129" ref="C479:O479">SUM(C477:C478)</f>
        <v>2538484.3503030767</v>
      </c>
      <c r="D479" s="78">
        <f t="shared" si="129"/>
        <v>2538484.3503030767</v>
      </c>
      <c r="E479" s="78">
        <f t="shared" si="129"/>
        <v>2538484.3503030767</v>
      </c>
      <c r="F479" s="78">
        <f t="shared" si="129"/>
        <v>2538484.3503030767</v>
      </c>
      <c r="G479" s="78">
        <f t="shared" si="129"/>
        <v>2538484.3503030767</v>
      </c>
      <c r="H479" s="78">
        <f t="shared" si="129"/>
        <v>2538484.3503030767</v>
      </c>
      <c r="I479" s="78">
        <f t="shared" si="129"/>
        <v>2538484.3503030767</v>
      </c>
      <c r="J479" s="78">
        <f t="shared" si="129"/>
        <v>2538484.3503030767</v>
      </c>
      <c r="K479" s="78">
        <f t="shared" si="129"/>
        <v>2538484.3503030767</v>
      </c>
      <c r="L479" s="78">
        <f t="shared" si="129"/>
        <v>2538484.3503030767</v>
      </c>
      <c r="M479" s="78">
        <f t="shared" si="129"/>
        <v>2538484.3503030767</v>
      </c>
      <c r="N479" s="78">
        <f t="shared" si="129"/>
        <v>2538484.3503030767</v>
      </c>
      <c r="O479" s="134">
        <f t="shared" si="129"/>
        <v>30461812.20363693</v>
      </c>
      <c r="P479" s="132"/>
    </row>
    <row r="481" spans="1:17" ht="11.25">
      <c r="A481" s="3" t="s">
        <v>242</v>
      </c>
      <c r="C481" s="113">
        <f>C$393</f>
        <v>2529895.4391636034</v>
      </c>
      <c r="D481" s="114">
        <f aca="true" t="shared" si="130" ref="D481:O481">D$393</f>
        <v>2438509.7444056342</v>
      </c>
      <c r="E481" s="114">
        <f t="shared" si="130"/>
        <v>2080961.8373600258</v>
      </c>
      <c r="F481" s="114">
        <f t="shared" si="130"/>
        <v>2071429.3328379635</v>
      </c>
      <c r="G481" s="114">
        <f t="shared" si="130"/>
        <v>2071815.7681234297</v>
      </c>
      <c r="H481" s="115">
        <f t="shared" si="130"/>
        <v>2188690.6580353575</v>
      </c>
      <c r="I481" s="114">
        <f t="shared" si="130"/>
        <v>2214778.992962022</v>
      </c>
      <c r="J481" s="114">
        <f t="shared" si="130"/>
        <v>2061686.698582105</v>
      </c>
      <c r="K481" s="114">
        <f t="shared" si="130"/>
        <v>2151582.6614674903</v>
      </c>
      <c r="L481" s="114">
        <f t="shared" si="130"/>
        <v>2067721.3107937044</v>
      </c>
      <c r="M481" s="114">
        <f t="shared" si="130"/>
        <v>2144934.3661793056</v>
      </c>
      <c r="N481" s="114">
        <f t="shared" si="130"/>
        <v>2247828.3069755384</v>
      </c>
      <c r="O481" s="116">
        <f t="shared" si="130"/>
        <v>26269835.11688618</v>
      </c>
      <c r="P481" s="132"/>
      <c r="Q481" s="1"/>
    </row>
    <row r="483" spans="1:16" ht="11.25">
      <c r="A483" s="117" t="s">
        <v>261</v>
      </c>
      <c r="B483" s="118"/>
      <c r="C483" s="119">
        <f>C479/C481</f>
        <v>1.0033949668458682</v>
      </c>
      <c r="D483" s="120">
        <f aca="true" t="shared" si="131" ref="D483:O483">D479/D481</f>
        <v>1.0409982392429644</v>
      </c>
      <c r="E483" s="120">
        <f t="shared" si="131"/>
        <v>1.21986107805008</v>
      </c>
      <c r="F483" s="120">
        <f t="shared" si="131"/>
        <v>1.2254747531383192</v>
      </c>
      <c r="G483" s="120">
        <f t="shared" si="131"/>
        <v>1.2252461774640981</v>
      </c>
      <c r="H483" s="120">
        <f t="shared" si="131"/>
        <v>1.1598186984458123</v>
      </c>
      <c r="I483" s="120">
        <f t="shared" si="131"/>
        <v>1.1461569566849352</v>
      </c>
      <c r="J483" s="120">
        <f t="shared" si="131"/>
        <v>1.2312658135927648</v>
      </c>
      <c r="K483" s="120">
        <f t="shared" si="131"/>
        <v>1.1798219030877017</v>
      </c>
      <c r="L483" s="120">
        <f t="shared" si="131"/>
        <v>1.2276723836292367</v>
      </c>
      <c r="M483" s="120">
        <f t="shared" si="131"/>
        <v>1.1834788002510248</v>
      </c>
      <c r="N483" s="121">
        <f t="shared" si="131"/>
        <v>1.1293052687456442</v>
      </c>
      <c r="O483" s="122">
        <f t="shared" si="131"/>
        <v>1.159573787505661</v>
      </c>
      <c r="P483" s="132"/>
    </row>
    <row r="484" spans="3:15" ht="11.25">
      <c r="C484" s="146"/>
      <c r="O484" s="146"/>
    </row>
    <row r="485" spans="3:15" ht="11.25">
      <c r="C485" s="146"/>
      <c r="O485" s="146"/>
    </row>
    <row r="486" spans="1:16" ht="11.25">
      <c r="A486" s="5" t="s">
        <v>343</v>
      </c>
      <c r="C486" s="146"/>
      <c r="P486" s="110"/>
    </row>
    <row r="487" ht="11.25">
      <c r="A487" s="5"/>
    </row>
    <row r="488" spans="1:16" ht="11.25">
      <c r="A488" s="38" t="s">
        <v>265</v>
      </c>
      <c r="B488" s="34"/>
      <c r="C488" s="78">
        <f aca="true" t="shared" si="132" ref="C488:O488">C466-C479</f>
        <v>60044807.59672529</v>
      </c>
      <c r="D488" s="78">
        <f t="shared" si="132"/>
        <v>63667305.81269609</v>
      </c>
      <c r="E488" s="78">
        <f t="shared" si="132"/>
        <v>50836999.502123006</v>
      </c>
      <c r="F488" s="78">
        <f t="shared" si="132"/>
        <v>44573794.3839162</v>
      </c>
      <c r="G488" s="78">
        <f t="shared" si="132"/>
        <v>43854000.28917018</v>
      </c>
      <c r="H488" s="78">
        <f t="shared" si="132"/>
        <v>47030107.679284364</v>
      </c>
      <c r="I488" s="78">
        <f t="shared" si="132"/>
        <v>49093577.269553564</v>
      </c>
      <c r="J488" s="78">
        <f t="shared" si="132"/>
        <v>45514236.10770489</v>
      </c>
      <c r="K488" s="78">
        <f t="shared" si="132"/>
        <v>47084226.60664221</v>
      </c>
      <c r="L488" s="78">
        <f t="shared" si="132"/>
        <v>47782598.861861594</v>
      </c>
      <c r="M488" s="78">
        <f t="shared" si="132"/>
        <v>50207117.16752455</v>
      </c>
      <c r="N488" s="78">
        <f t="shared" si="132"/>
        <v>50451320.1208274</v>
      </c>
      <c r="O488" s="134">
        <f t="shared" si="132"/>
        <v>600140091.3980294</v>
      </c>
      <c r="P488" s="132"/>
    </row>
    <row r="489" spans="1:15" ht="11.25">
      <c r="A489" s="139"/>
      <c r="B489" s="2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7" ht="11.25">
      <c r="A490" s="139" t="s">
        <v>242</v>
      </c>
      <c r="B490" s="29"/>
      <c r="C490" s="114">
        <f>C$393</f>
        <v>2529895.4391636034</v>
      </c>
      <c r="D490" s="114">
        <f aca="true" t="shared" si="133" ref="D490:O490">D$393</f>
        <v>2438509.7444056342</v>
      </c>
      <c r="E490" s="114">
        <f t="shared" si="133"/>
        <v>2080961.8373600258</v>
      </c>
      <c r="F490" s="114">
        <f t="shared" si="133"/>
        <v>2071429.3328379635</v>
      </c>
      <c r="G490" s="114">
        <f t="shared" si="133"/>
        <v>2071815.7681234297</v>
      </c>
      <c r="H490" s="115">
        <f t="shared" si="133"/>
        <v>2188690.6580353575</v>
      </c>
      <c r="I490" s="114">
        <f t="shared" si="133"/>
        <v>2214778.992962022</v>
      </c>
      <c r="J490" s="114">
        <f t="shared" si="133"/>
        <v>2061686.698582105</v>
      </c>
      <c r="K490" s="114">
        <f t="shared" si="133"/>
        <v>2151582.6614674903</v>
      </c>
      <c r="L490" s="114">
        <f t="shared" si="133"/>
        <v>2067721.3107937044</v>
      </c>
      <c r="M490" s="114">
        <f t="shared" si="133"/>
        <v>2144934.3661793056</v>
      </c>
      <c r="N490" s="114">
        <f t="shared" si="133"/>
        <v>2247828.3069755384</v>
      </c>
      <c r="O490" s="116">
        <f t="shared" si="133"/>
        <v>26269835.11688618</v>
      </c>
      <c r="P490" s="132"/>
      <c r="Q490" s="1"/>
    </row>
    <row r="491" spans="1:15" ht="11.25">
      <c r="A491" s="139"/>
      <c r="B491" s="2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6" ht="11.25">
      <c r="A492" s="155" t="s">
        <v>266</v>
      </c>
      <c r="B492" s="118"/>
      <c r="C492" s="156">
        <f aca="true" t="shared" si="134" ref="C492:O492">C488/C490</f>
        <v>23.73410642480008</v>
      </c>
      <c r="D492" s="157">
        <f t="shared" si="134"/>
        <v>26.10910452942006</v>
      </c>
      <c r="E492" s="157">
        <f t="shared" si="134"/>
        <v>24.429568380079683</v>
      </c>
      <c r="F492" s="157">
        <f t="shared" si="134"/>
        <v>21.51837558602486</v>
      </c>
      <c r="G492" s="157">
        <f t="shared" si="134"/>
        <v>21.16694011306393</v>
      </c>
      <c r="H492" s="157">
        <f t="shared" si="134"/>
        <v>21.487781978975583</v>
      </c>
      <c r="I492" s="157">
        <f t="shared" si="134"/>
        <v>22.166354939052557</v>
      </c>
      <c r="J492" s="157">
        <f t="shared" si="134"/>
        <v>22.076213684167747</v>
      </c>
      <c r="K492" s="157">
        <f t="shared" si="134"/>
        <v>21.883531341774404</v>
      </c>
      <c r="L492" s="157">
        <f t="shared" si="134"/>
        <v>23.108819652064245</v>
      </c>
      <c r="M492" s="157">
        <f t="shared" si="134"/>
        <v>23.40729765869558</v>
      </c>
      <c r="N492" s="158">
        <f t="shared" si="134"/>
        <v>22.44447227764911</v>
      </c>
      <c r="O492" s="159">
        <f t="shared" si="134"/>
        <v>22.845217289249792</v>
      </c>
      <c r="P492" s="132"/>
    </row>
    <row r="493" spans="1:15" ht="11.25">
      <c r="A493" s="139"/>
      <c r="B493" s="2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9" ht="11.25">
      <c r="A494" s="143" t="s">
        <v>365</v>
      </c>
      <c r="B494" s="140"/>
      <c r="C494" s="141"/>
      <c r="D494" s="255" t="s">
        <v>365</v>
      </c>
      <c r="E494" s="143"/>
      <c r="F494" s="141"/>
      <c r="G494" s="255" t="s">
        <v>365</v>
      </c>
      <c r="H494" s="141"/>
      <c r="I494" s="143"/>
      <c r="J494" s="141"/>
      <c r="K494" s="255" t="s">
        <v>365</v>
      </c>
      <c r="L494" s="141"/>
      <c r="M494" s="141"/>
      <c r="N494" s="255" t="s">
        <v>365</v>
      </c>
      <c r="O494" s="142"/>
      <c r="P494" s="142"/>
      <c r="Q494" s="255" t="s">
        <v>365</v>
      </c>
      <c r="R494" s="142"/>
      <c r="S494" s="14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90" zoomScaleNormal="90" zoomScalePageLayoutView="0" workbookViewId="0" topLeftCell="H1">
      <selection activeCell="T31" sqref="T31"/>
    </sheetView>
  </sheetViews>
  <sheetFormatPr defaultColWidth="9.140625" defaultRowHeight="12.75"/>
  <cols>
    <col min="1" max="1" width="20.7109375" style="252" customWidth="1"/>
    <col min="2" max="2" width="9.7109375" style="252" customWidth="1"/>
    <col min="3" max="14" width="11.28125" style="252" customWidth="1"/>
    <col min="15" max="15" width="12.7109375" style="252" customWidth="1"/>
    <col min="16" max="16" width="5.421875" style="0" customWidth="1"/>
    <col min="17" max="17" width="26.57421875" style="0" customWidth="1"/>
    <col min="19" max="19" width="10.7109375" style="0" customWidth="1"/>
  </cols>
  <sheetData>
    <row r="1" spans="1:17" ht="12.75">
      <c r="A1" s="5" t="s">
        <v>384</v>
      </c>
      <c r="H1" s="5" t="s">
        <v>416</v>
      </c>
      <c r="Q1" s="5" t="s">
        <v>383</v>
      </c>
    </row>
    <row r="2" ht="12.75">
      <c r="Q2" s="5" t="s">
        <v>385</v>
      </c>
    </row>
    <row r="3" spans="1:19" ht="12.75">
      <c r="A3" s="5" t="s">
        <v>399</v>
      </c>
      <c r="S3" s="276" t="s">
        <v>366</v>
      </c>
    </row>
    <row r="4" spans="1:19" ht="12.75">
      <c r="A4" s="250" t="s">
        <v>393</v>
      </c>
      <c r="B4" s="262"/>
      <c r="C4" s="224" t="s">
        <v>121</v>
      </c>
      <c r="D4" s="224" t="s">
        <v>122</v>
      </c>
      <c r="E4" s="253" t="s">
        <v>123</v>
      </c>
      <c r="F4" s="253" t="s">
        <v>124</v>
      </c>
      <c r="G4" s="253" t="s">
        <v>125</v>
      </c>
      <c r="H4" s="284" t="s">
        <v>126</v>
      </c>
      <c r="I4" s="253" t="s">
        <v>127</v>
      </c>
      <c r="J4" s="253" t="s">
        <v>128</v>
      </c>
      <c r="K4" s="253" t="s">
        <v>129</v>
      </c>
      <c r="L4" s="253" t="s">
        <v>130</v>
      </c>
      <c r="M4" s="253" t="s">
        <v>131</v>
      </c>
      <c r="N4" s="253" t="s">
        <v>132</v>
      </c>
      <c r="O4" s="254" t="s">
        <v>377</v>
      </c>
      <c r="Q4" s="272" t="s">
        <v>374</v>
      </c>
      <c r="S4" s="276" t="s">
        <v>375</v>
      </c>
    </row>
    <row r="5" spans="1:15" ht="12.75">
      <c r="A5" s="18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286"/>
    </row>
    <row r="6" spans="1:17" ht="12.75">
      <c r="A6" s="315" t="s">
        <v>360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286"/>
      <c r="Q6" s="272" t="s">
        <v>370</v>
      </c>
    </row>
    <row r="7" spans="1:19" ht="12.75">
      <c r="A7" s="18" t="s">
        <v>9</v>
      </c>
      <c r="B7" s="313"/>
      <c r="C7" s="298">
        <f>'Base Forecast'!C444</f>
        <v>58522086.602900185</v>
      </c>
      <c r="D7" s="298">
        <f>'Base Forecast'!D444</f>
        <v>63183355.01119238</v>
      </c>
      <c r="E7" s="298">
        <f>'Base Forecast'!E444</f>
        <v>52548451.01875674</v>
      </c>
      <c r="F7" s="298">
        <f>'Base Forecast'!F444</f>
        <v>47439660.27228069</v>
      </c>
      <c r="G7" s="298">
        <f>'Base Forecast'!G444</f>
        <v>47352208.97839639</v>
      </c>
      <c r="H7" s="298">
        <f>'Base Forecast'!H444</f>
        <v>51948880.01643473</v>
      </c>
      <c r="I7" s="298">
        <f>'Base Forecast'!I444</f>
        <v>53744070.286875285</v>
      </c>
      <c r="J7" s="298">
        <f>'Base Forecast'!J444</f>
        <v>49484259.57581626</v>
      </c>
      <c r="K7" s="298">
        <f>'Base Forecast'!K444</f>
        <v>50694662.69355582</v>
      </c>
      <c r="L7" s="298">
        <f>'Base Forecast'!L444</f>
        <v>50304042.738867246</v>
      </c>
      <c r="M7" s="298">
        <f>'Base Forecast'!M444</f>
        <v>52612782.72091536</v>
      </c>
      <c r="N7" s="298">
        <f>'Base Forecast'!N444</f>
        <v>51238039.36199004</v>
      </c>
      <c r="O7" s="302">
        <f>SUM(C7:N7)</f>
        <v>629072499.2779812</v>
      </c>
      <c r="Q7" s="274" t="s">
        <v>367</v>
      </c>
      <c r="S7" s="273">
        <v>802651.392981148</v>
      </c>
    </row>
    <row r="8" spans="1:19" ht="12.75">
      <c r="A8" s="317" t="s">
        <v>387</v>
      </c>
      <c r="B8" s="308"/>
      <c r="C8" s="308">
        <f>-'Base Forecast'!C479</f>
        <v>-2538484.3503030767</v>
      </c>
      <c r="D8" s="308">
        <f>-'Base Forecast'!D479</f>
        <v>-2538484.3503030767</v>
      </c>
      <c r="E8" s="308">
        <f>-'Base Forecast'!E479</f>
        <v>-2538484.3503030767</v>
      </c>
      <c r="F8" s="308">
        <f>-'Base Forecast'!F479</f>
        <v>-2538484.3503030767</v>
      </c>
      <c r="G8" s="308">
        <f>-'Base Forecast'!G479</f>
        <v>-2538484.3503030767</v>
      </c>
      <c r="H8" s="308">
        <f>-'Base Forecast'!H479</f>
        <v>-2538484.3503030767</v>
      </c>
      <c r="I8" s="308">
        <f>-'Base Forecast'!I479</f>
        <v>-2538484.3503030767</v>
      </c>
      <c r="J8" s="308">
        <f>-'Base Forecast'!J479</f>
        <v>-2538484.3503030767</v>
      </c>
      <c r="K8" s="308">
        <f>-'Base Forecast'!K479</f>
        <v>-2538484.3503030767</v>
      </c>
      <c r="L8" s="308">
        <f>-'Base Forecast'!L479</f>
        <v>-2538484.3503030767</v>
      </c>
      <c r="M8" s="308">
        <f>-'Base Forecast'!M479</f>
        <v>-2538484.3503030767</v>
      </c>
      <c r="N8" s="308">
        <f>-'Base Forecast'!N479</f>
        <v>-2538484.3503030767</v>
      </c>
      <c r="O8" s="309">
        <f>SUM(C8:N8)</f>
        <v>-30461812.20363692</v>
      </c>
      <c r="Q8" s="322" t="s">
        <v>417</v>
      </c>
      <c r="S8">
        <v>578503.9088028058</v>
      </c>
    </row>
    <row r="9" spans="1:19" ht="12.75">
      <c r="A9" s="250" t="s">
        <v>395</v>
      </c>
      <c r="B9" s="6"/>
      <c r="C9" s="258">
        <f>SUM(C7:C8)</f>
        <v>55983602.25259711</v>
      </c>
      <c r="D9" s="258">
        <f aca="true" t="shared" si="0" ref="D9:O9">SUM(D7:D8)</f>
        <v>60644870.660889305</v>
      </c>
      <c r="E9" s="258">
        <f t="shared" si="0"/>
        <v>50009966.66845366</v>
      </c>
      <c r="F9" s="258">
        <f t="shared" si="0"/>
        <v>44901175.92197762</v>
      </c>
      <c r="G9" s="258">
        <f t="shared" si="0"/>
        <v>44813724.62809332</v>
      </c>
      <c r="H9" s="258">
        <f t="shared" si="0"/>
        <v>49410395.66613165</v>
      </c>
      <c r="I9" s="258">
        <f t="shared" si="0"/>
        <v>51205585.93657221</v>
      </c>
      <c r="J9" s="258">
        <f t="shared" si="0"/>
        <v>46945775.22551318</v>
      </c>
      <c r="K9" s="258">
        <f t="shared" si="0"/>
        <v>48156178.34325274</v>
      </c>
      <c r="L9" s="258">
        <f t="shared" si="0"/>
        <v>47765558.38856417</v>
      </c>
      <c r="M9" s="258">
        <f t="shared" si="0"/>
        <v>50074298.370612286</v>
      </c>
      <c r="N9" s="258">
        <f t="shared" si="0"/>
        <v>48699555.011686966</v>
      </c>
      <c r="O9" s="310">
        <f t="shared" si="0"/>
        <v>598610687.0743443</v>
      </c>
      <c r="Q9" s="274" t="s">
        <v>368</v>
      </c>
      <c r="S9" s="273">
        <v>758815.181255444</v>
      </c>
    </row>
    <row r="10" spans="1:19" ht="12.75">
      <c r="A10" s="18" t="s">
        <v>388</v>
      </c>
      <c r="B10" s="313"/>
      <c r="C10" s="313">
        <f>'Base Forecast'!C490</f>
        <v>2487068.8526099944</v>
      </c>
      <c r="D10" s="313">
        <f>'Base Forecast'!D490</f>
        <v>2438509.7444056342</v>
      </c>
      <c r="E10" s="313">
        <f>'Base Forecast'!E490</f>
        <v>2080961.8373600258</v>
      </c>
      <c r="F10" s="313">
        <f>'Base Forecast'!F490</f>
        <v>2071429.3328379635</v>
      </c>
      <c r="G10" s="313">
        <f>'Base Forecast'!G490</f>
        <v>2071815.7681234297</v>
      </c>
      <c r="H10" s="313">
        <f>'Base Forecast'!H490</f>
        <v>2188690.6580353575</v>
      </c>
      <c r="I10" s="313">
        <f>'Base Forecast'!I490</f>
        <v>2214778.992962022</v>
      </c>
      <c r="J10" s="313">
        <f>'Base Forecast'!J490</f>
        <v>2061686.698582105</v>
      </c>
      <c r="K10" s="313">
        <f>'Base Forecast'!K490</f>
        <v>2151582.6614674903</v>
      </c>
      <c r="L10" s="313">
        <f>'Base Forecast'!L490</f>
        <v>2067721.3107937044</v>
      </c>
      <c r="M10" s="313">
        <f>'Base Forecast'!M490</f>
        <v>2144934.3661793056</v>
      </c>
      <c r="N10" s="313">
        <f>'Base Forecast'!N490</f>
        <v>2247828.3069755384</v>
      </c>
      <c r="O10" s="286">
        <f>SUM(C10:N10)</f>
        <v>26227008.530332573</v>
      </c>
      <c r="Q10" s="274" t="s">
        <v>369</v>
      </c>
      <c r="S10" s="273">
        <v>557979.5591546581</v>
      </c>
    </row>
    <row r="11" spans="1:17" ht="12.75">
      <c r="A11" s="18" t="s">
        <v>389</v>
      </c>
      <c r="B11" s="313"/>
      <c r="C11" s="306">
        <f aca="true" t="shared" si="1" ref="C11:O11">C7/C10</f>
        <v>23.530545421565467</v>
      </c>
      <c r="D11" s="259">
        <f t="shared" si="1"/>
        <v>25.91064282443242</v>
      </c>
      <c r="E11" s="259">
        <f t="shared" si="1"/>
        <v>25.25200129831375</v>
      </c>
      <c r="F11" s="259">
        <f t="shared" si="1"/>
        <v>22.90189654082283</v>
      </c>
      <c r="G11" s="259">
        <f t="shared" si="1"/>
        <v>22.85541490075934</v>
      </c>
      <c r="H11" s="259">
        <f t="shared" si="1"/>
        <v>23.735140379803966</v>
      </c>
      <c r="I11" s="259">
        <f t="shared" si="1"/>
        <v>24.266109827508586</v>
      </c>
      <c r="J11" s="259">
        <f t="shared" si="1"/>
        <v>24.0018328729813</v>
      </c>
      <c r="K11" s="259">
        <f t="shared" si="1"/>
        <v>23.56156870077185</v>
      </c>
      <c r="L11" s="259">
        <f t="shared" si="1"/>
        <v>24.328250850961055</v>
      </c>
      <c r="M11" s="259">
        <f t="shared" si="1"/>
        <v>24.528854379182064</v>
      </c>
      <c r="N11" s="259">
        <f t="shared" si="1"/>
        <v>22.7944630837624</v>
      </c>
      <c r="O11" s="307">
        <f t="shared" si="1"/>
        <v>23.985674864536453</v>
      </c>
      <c r="Q11" s="271"/>
    </row>
    <row r="12" spans="1:17" ht="12.75">
      <c r="A12" s="18" t="s">
        <v>390</v>
      </c>
      <c r="B12" s="313"/>
      <c r="C12" s="306">
        <f aca="true" t="shared" si="2" ref="C12:O12">C8/C10</f>
        <v>-1.020673129993617</v>
      </c>
      <c r="D12" s="259">
        <f t="shared" si="2"/>
        <v>-1.0409982392429644</v>
      </c>
      <c r="E12" s="259">
        <f t="shared" si="2"/>
        <v>-1.21986107805008</v>
      </c>
      <c r="F12" s="259">
        <f t="shared" si="2"/>
        <v>-1.2254747531383192</v>
      </c>
      <c r="G12" s="259">
        <f t="shared" si="2"/>
        <v>-1.2252461774640981</v>
      </c>
      <c r="H12" s="259">
        <f t="shared" si="2"/>
        <v>-1.1598186984458123</v>
      </c>
      <c r="I12" s="259">
        <f t="shared" si="2"/>
        <v>-1.1461569566849352</v>
      </c>
      <c r="J12" s="259">
        <f t="shared" si="2"/>
        <v>-1.2312658135927648</v>
      </c>
      <c r="K12" s="259">
        <f t="shared" si="2"/>
        <v>-1.1798219030877017</v>
      </c>
      <c r="L12" s="259">
        <f t="shared" si="2"/>
        <v>-1.2276723836292367</v>
      </c>
      <c r="M12" s="259">
        <f t="shared" si="2"/>
        <v>-1.1834788002510248</v>
      </c>
      <c r="N12" s="259">
        <f t="shared" si="2"/>
        <v>-1.1293052687456442</v>
      </c>
      <c r="O12" s="307">
        <f t="shared" si="2"/>
        <v>-1.1614672778409565</v>
      </c>
      <c r="Q12" s="275" t="s">
        <v>371</v>
      </c>
    </row>
    <row r="13" spans="1:19" ht="12.75">
      <c r="A13" s="18" t="s">
        <v>386</v>
      </c>
      <c r="B13" s="313"/>
      <c r="C13" s="306">
        <f>SUM(C11:C12)</f>
        <v>22.50987229157185</v>
      </c>
      <c r="D13" s="138">
        <f aca="true" t="shared" si="3" ref="D13:O13">SUM(D11:D12)</f>
        <v>24.869644585189455</v>
      </c>
      <c r="E13" s="138">
        <f t="shared" si="3"/>
        <v>24.03214022026367</v>
      </c>
      <c r="F13" s="138">
        <f t="shared" si="3"/>
        <v>21.67642178768451</v>
      </c>
      <c r="G13" s="138">
        <f t="shared" si="3"/>
        <v>21.63016872329524</v>
      </c>
      <c r="H13" s="138">
        <f t="shared" si="3"/>
        <v>22.575321681358155</v>
      </c>
      <c r="I13" s="138">
        <f t="shared" si="3"/>
        <v>23.119952870823653</v>
      </c>
      <c r="J13" s="138">
        <f t="shared" si="3"/>
        <v>22.770567059388537</v>
      </c>
      <c r="K13" s="138">
        <f t="shared" si="3"/>
        <v>22.381746797684148</v>
      </c>
      <c r="L13" s="138">
        <f t="shared" si="3"/>
        <v>23.100578467331818</v>
      </c>
      <c r="M13" s="138">
        <f t="shared" si="3"/>
        <v>23.34537557893104</v>
      </c>
      <c r="N13" s="138">
        <f t="shared" si="3"/>
        <v>21.665157815016755</v>
      </c>
      <c r="O13" s="304">
        <f t="shared" si="3"/>
        <v>22.824207586695497</v>
      </c>
      <c r="Q13" s="274" t="s">
        <v>367</v>
      </c>
      <c r="S13" s="273">
        <v>802651.392981148</v>
      </c>
    </row>
    <row r="14" spans="1:19" ht="12.75">
      <c r="A14" s="18"/>
      <c r="B14" s="313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286"/>
      <c r="Q14" s="322" t="s">
        <v>417</v>
      </c>
      <c r="S14">
        <v>578503.9088028058</v>
      </c>
    </row>
    <row r="15" spans="1:19" ht="12.75">
      <c r="A15" s="315" t="s">
        <v>347</v>
      </c>
      <c r="B15" s="313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286"/>
      <c r="Q15" s="274" t="s">
        <v>368</v>
      </c>
      <c r="S15" s="273">
        <v>401116.45820748806</v>
      </c>
    </row>
    <row r="16" spans="1:19" ht="12.75">
      <c r="A16" s="18" t="s">
        <v>9</v>
      </c>
      <c r="B16" s="313"/>
      <c r="C16" s="298">
        <f>'Utah Spike'!C444</f>
        <v>59491380.88759305</v>
      </c>
      <c r="D16" s="298">
        <f>'Utah Spike'!D444</f>
        <v>63196865.09138254</v>
      </c>
      <c r="E16" s="298">
        <f>'Utah Spike'!E444</f>
        <v>52548451.14784797</v>
      </c>
      <c r="F16" s="298">
        <f>'Utah Spike'!F444</f>
        <v>47439660.521719426</v>
      </c>
      <c r="G16" s="298">
        <f>'Utah Spike'!G444</f>
        <v>47352209.21858677</v>
      </c>
      <c r="H16" s="298">
        <f>'Utah Spike'!H444</f>
        <v>51948880.20045149</v>
      </c>
      <c r="I16" s="298">
        <f>'Utah Spike'!I444</f>
        <v>53744070.394234784</v>
      </c>
      <c r="J16" s="298">
        <f>'Utah Spike'!J444</f>
        <v>49484259.77067679</v>
      </c>
      <c r="K16" s="298">
        <f>'Utah Spike'!K444</f>
        <v>50694662.85759029</v>
      </c>
      <c r="L16" s="298">
        <f>'Utah Spike'!L444</f>
        <v>50304042.92275222</v>
      </c>
      <c r="M16" s="298">
        <f>'Utah Spike'!M444</f>
        <v>52612782.992318854</v>
      </c>
      <c r="N16" s="298">
        <f>'Utah Spike'!N444</f>
        <v>51238039.51677387</v>
      </c>
      <c r="O16" s="302">
        <f>SUM(C16:N16)</f>
        <v>630055305.521928</v>
      </c>
      <c r="Q16" s="274" t="s">
        <v>369</v>
      </c>
      <c r="S16" s="273">
        <v>299709.54376270104</v>
      </c>
    </row>
    <row r="17" spans="1:19" ht="12.75">
      <c r="A17" s="18" t="s">
        <v>387</v>
      </c>
      <c r="B17" s="313"/>
      <c r="C17" s="298">
        <f>-'Utah Spike'!C479</f>
        <v>-2538484.3503030767</v>
      </c>
      <c r="D17" s="298">
        <f>-'Utah Spike'!D479</f>
        <v>-2538484.3503030767</v>
      </c>
      <c r="E17" s="298">
        <f>-'Utah Spike'!E479</f>
        <v>-2538484.3503030767</v>
      </c>
      <c r="F17" s="298">
        <f>-'Utah Spike'!F479</f>
        <v>-2538484.3503030767</v>
      </c>
      <c r="G17" s="298">
        <f>-'Utah Spike'!G479</f>
        <v>-2538484.3503030767</v>
      </c>
      <c r="H17" s="298">
        <f>-'Utah Spike'!H479</f>
        <v>-2538484.3503030767</v>
      </c>
      <c r="I17" s="298">
        <f>-'Utah Spike'!I479</f>
        <v>-2538484.3503030767</v>
      </c>
      <c r="J17" s="298">
        <f>-'Utah Spike'!J479</f>
        <v>-2538484.3503030767</v>
      </c>
      <c r="K17" s="298">
        <f>-'Utah Spike'!K479</f>
        <v>-2538484.3503030767</v>
      </c>
      <c r="L17" s="298">
        <f>-'Utah Spike'!L479</f>
        <v>-2538484.3503030767</v>
      </c>
      <c r="M17" s="298">
        <f>-'Utah Spike'!M479</f>
        <v>-2538484.3503030767</v>
      </c>
      <c r="N17" s="298">
        <f>-'Utah Spike'!N479</f>
        <v>-2538484.3503030767</v>
      </c>
      <c r="O17" s="302">
        <f>SUM(C17:N17)</f>
        <v>-30461812.20363692</v>
      </c>
      <c r="Q17" s="274"/>
      <c r="S17" s="273"/>
    </row>
    <row r="18" spans="1:17" ht="12.75">
      <c r="A18" s="250" t="s">
        <v>396</v>
      </c>
      <c r="B18" s="6"/>
      <c r="C18" s="258">
        <f>SUM(C16:C17)</f>
        <v>56952896.53728998</v>
      </c>
      <c r="D18" s="258">
        <f aca="true" t="shared" si="4" ref="D18:O18">SUM(D16:D17)</f>
        <v>60658380.741079465</v>
      </c>
      <c r="E18" s="258">
        <f t="shared" si="4"/>
        <v>50009966.7975449</v>
      </c>
      <c r="F18" s="258">
        <f t="shared" si="4"/>
        <v>44901176.17141635</v>
      </c>
      <c r="G18" s="258">
        <f t="shared" si="4"/>
        <v>44813724.8682837</v>
      </c>
      <c r="H18" s="258">
        <f t="shared" si="4"/>
        <v>49410395.85014842</v>
      </c>
      <c r="I18" s="258">
        <f t="shared" si="4"/>
        <v>51205586.04393171</v>
      </c>
      <c r="J18" s="258">
        <f t="shared" si="4"/>
        <v>46945775.420373715</v>
      </c>
      <c r="K18" s="258">
        <f t="shared" si="4"/>
        <v>48156178.50728721</v>
      </c>
      <c r="L18" s="258">
        <f t="shared" si="4"/>
        <v>47765558.57244914</v>
      </c>
      <c r="M18" s="258">
        <f t="shared" si="4"/>
        <v>50074298.64201578</v>
      </c>
      <c r="N18" s="258">
        <f t="shared" si="4"/>
        <v>48699555.166470796</v>
      </c>
      <c r="O18" s="310">
        <f t="shared" si="4"/>
        <v>599593493.3182911</v>
      </c>
      <c r="Q18" s="275" t="s">
        <v>372</v>
      </c>
    </row>
    <row r="19" spans="1:19" ht="12.75">
      <c r="A19" s="18" t="s">
        <v>388</v>
      </c>
      <c r="B19" s="313"/>
      <c r="C19" s="59">
        <f>'Utah Spike'!C490</f>
        <v>2529895.4391636034</v>
      </c>
      <c r="D19" s="59">
        <f>'Utah Spike'!D490</f>
        <v>2438509.7444056342</v>
      </c>
      <c r="E19" s="59">
        <f>'Utah Spike'!E490</f>
        <v>2080961.8373600258</v>
      </c>
      <c r="F19" s="59">
        <f>'Utah Spike'!F490</f>
        <v>2071429.3328379635</v>
      </c>
      <c r="G19" s="59">
        <f>'Utah Spike'!G490</f>
        <v>2071815.7681234297</v>
      </c>
      <c r="H19" s="59">
        <f>'Utah Spike'!H490</f>
        <v>2188690.6580353575</v>
      </c>
      <c r="I19" s="59">
        <f>'Utah Spike'!I490</f>
        <v>2214778.992962022</v>
      </c>
      <c r="J19" s="59">
        <f>'Utah Spike'!J490</f>
        <v>2061686.698582105</v>
      </c>
      <c r="K19" s="59">
        <f>'Utah Spike'!K490</f>
        <v>2151582.6614674903</v>
      </c>
      <c r="L19" s="59">
        <f>'Utah Spike'!L490</f>
        <v>2067721.3107937044</v>
      </c>
      <c r="M19" s="59">
        <f>'Utah Spike'!M490</f>
        <v>2144934.3661793056</v>
      </c>
      <c r="N19" s="59">
        <f>'Utah Spike'!N490</f>
        <v>2247828.3069755384</v>
      </c>
      <c r="O19" s="286">
        <f>SUM(C19:N19)</f>
        <v>26269835.11688618</v>
      </c>
      <c r="Q19" s="274" t="s">
        <v>367</v>
      </c>
      <c r="S19" s="273">
        <v>18785.24994125663</v>
      </c>
    </row>
    <row r="20" spans="1:19" ht="12.75">
      <c r="A20" s="18" t="s">
        <v>389</v>
      </c>
      <c r="B20" s="313"/>
      <c r="C20" s="306">
        <f aca="true" t="shared" si="5" ref="C20:O20">C16/C19</f>
        <v>23.51535164918168</v>
      </c>
      <c r="D20" s="259">
        <f t="shared" si="5"/>
        <v>25.916183126340645</v>
      </c>
      <c r="E20" s="259">
        <f t="shared" si="5"/>
        <v>25.252001360348157</v>
      </c>
      <c r="F20" s="259">
        <f t="shared" si="5"/>
        <v>22.90189666124148</v>
      </c>
      <c r="G20" s="259">
        <f t="shared" si="5"/>
        <v>22.855415016691644</v>
      </c>
      <c r="H20" s="259">
        <f t="shared" si="5"/>
        <v>23.735140463880153</v>
      </c>
      <c r="I20" s="259">
        <f t="shared" si="5"/>
        <v>24.26610987598272</v>
      </c>
      <c r="J20" s="259">
        <f t="shared" si="5"/>
        <v>24.001832967496405</v>
      </c>
      <c r="K20" s="259">
        <f t="shared" si="5"/>
        <v>23.561568777010834</v>
      </c>
      <c r="L20" s="259">
        <f t="shared" si="5"/>
        <v>24.32825093989227</v>
      </c>
      <c r="M20" s="259">
        <f t="shared" si="5"/>
        <v>24.528854505714367</v>
      </c>
      <c r="N20" s="259">
        <f t="shared" si="5"/>
        <v>22.794463152621674</v>
      </c>
      <c r="O20" s="307">
        <f t="shared" si="5"/>
        <v>23.9839840150702</v>
      </c>
      <c r="Q20" s="322" t="s">
        <v>417</v>
      </c>
      <c r="S20">
        <v>13876.117737293866</v>
      </c>
    </row>
    <row r="21" spans="1:19" ht="12.75">
      <c r="A21" s="18" t="s">
        <v>390</v>
      </c>
      <c r="B21" s="313"/>
      <c r="C21" s="306">
        <f aca="true" t="shared" si="6" ref="C21:O21">C17/C19</f>
        <v>-1.0033949668458682</v>
      </c>
      <c r="D21" s="259">
        <f t="shared" si="6"/>
        <v>-1.0409982392429644</v>
      </c>
      <c r="E21" s="259">
        <f t="shared" si="6"/>
        <v>-1.21986107805008</v>
      </c>
      <c r="F21" s="259">
        <f t="shared" si="6"/>
        <v>-1.2254747531383192</v>
      </c>
      <c r="G21" s="259">
        <f t="shared" si="6"/>
        <v>-1.2252461774640981</v>
      </c>
      <c r="H21" s="259">
        <f t="shared" si="6"/>
        <v>-1.1598186984458123</v>
      </c>
      <c r="I21" s="259">
        <f t="shared" si="6"/>
        <v>-1.1461569566849352</v>
      </c>
      <c r="J21" s="259">
        <f t="shared" si="6"/>
        <v>-1.2312658135927648</v>
      </c>
      <c r="K21" s="259">
        <f t="shared" si="6"/>
        <v>-1.1798219030877017</v>
      </c>
      <c r="L21" s="259">
        <f t="shared" si="6"/>
        <v>-1.2276723836292367</v>
      </c>
      <c r="M21" s="259">
        <f t="shared" si="6"/>
        <v>-1.1834788002510248</v>
      </c>
      <c r="N21" s="259">
        <f t="shared" si="6"/>
        <v>-1.1293052687456442</v>
      </c>
      <c r="O21" s="307">
        <f t="shared" si="6"/>
        <v>-1.1595737875056606</v>
      </c>
      <c r="Q21" s="274" t="s">
        <v>368</v>
      </c>
      <c r="S21" s="273">
        <v>-25050.96178430439</v>
      </c>
    </row>
    <row r="22" spans="1:19" ht="12.75">
      <c r="A22" s="18" t="s">
        <v>386</v>
      </c>
      <c r="B22" s="313"/>
      <c r="C22" s="306">
        <f aca="true" t="shared" si="7" ref="C22:O22">SUM(C20:C21)</f>
        <v>22.511956682335814</v>
      </c>
      <c r="D22" s="138">
        <f t="shared" si="7"/>
        <v>24.87518488709768</v>
      </c>
      <c r="E22" s="138">
        <f t="shared" si="7"/>
        <v>24.032140282298077</v>
      </c>
      <c r="F22" s="138">
        <f t="shared" si="7"/>
        <v>21.676421908103162</v>
      </c>
      <c r="G22" s="138">
        <f t="shared" si="7"/>
        <v>21.630168839227547</v>
      </c>
      <c r="H22" s="138">
        <f t="shared" si="7"/>
        <v>22.575321765434342</v>
      </c>
      <c r="I22" s="138">
        <f t="shared" si="7"/>
        <v>23.119952919297788</v>
      </c>
      <c r="J22" s="138">
        <f t="shared" si="7"/>
        <v>22.77056715390364</v>
      </c>
      <c r="K22" s="138">
        <f t="shared" si="7"/>
        <v>22.38174687392313</v>
      </c>
      <c r="L22" s="138">
        <f t="shared" si="7"/>
        <v>23.100578556263034</v>
      </c>
      <c r="M22" s="138">
        <f t="shared" si="7"/>
        <v>23.345375705463344</v>
      </c>
      <c r="N22" s="138">
        <f t="shared" si="7"/>
        <v>21.66515788387603</v>
      </c>
      <c r="O22" s="304">
        <f t="shared" si="7"/>
        <v>22.824410227564538</v>
      </c>
      <c r="Q22" s="274" t="s">
        <v>369</v>
      </c>
      <c r="S22" s="273">
        <v>-8076.4245509752045</v>
      </c>
    </row>
    <row r="23" spans="1:19" ht="12.75">
      <c r="A23" s="18"/>
      <c r="B23" s="313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86"/>
      <c r="Q23" s="274"/>
      <c r="S23" s="273"/>
    </row>
    <row r="24" spans="1:17" ht="12.75">
      <c r="A24" s="315" t="s">
        <v>391</v>
      </c>
      <c r="B24" s="313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86"/>
      <c r="Q24" s="275" t="s">
        <v>373</v>
      </c>
    </row>
    <row r="25" spans="1:19" ht="12.75">
      <c r="A25" s="18" t="s">
        <v>9</v>
      </c>
      <c r="B25" s="313"/>
      <c r="C25" s="298">
        <f aca="true" t="shared" si="8" ref="C25:N25">C11*C19</f>
        <v>59529819.54305048</v>
      </c>
      <c r="D25" s="298">
        <f t="shared" si="8"/>
        <v>63183355.011192374</v>
      </c>
      <c r="E25" s="298">
        <f t="shared" si="8"/>
        <v>52548451.01875674</v>
      </c>
      <c r="F25" s="298">
        <f t="shared" si="8"/>
        <v>47439660.27228069</v>
      </c>
      <c r="G25" s="298">
        <f t="shared" si="8"/>
        <v>47352208.97839639</v>
      </c>
      <c r="H25" s="298">
        <f t="shared" si="8"/>
        <v>51948880.01643473</v>
      </c>
      <c r="I25" s="298">
        <f t="shared" si="8"/>
        <v>53744070.286875285</v>
      </c>
      <c r="J25" s="298">
        <f t="shared" si="8"/>
        <v>49484259.57581626</v>
      </c>
      <c r="K25" s="298">
        <f t="shared" si="8"/>
        <v>50694662.69355582</v>
      </c>
      <c r="L25" s="298">
        <f t="shared" si="8"/>
        <v>50304042.738867246</v>
      </c>
      <c r="M25" s="298">
        <f t="shared" si="8"/>
        <v>52612782.72091536</v>
      </c>
      <c r="N25" s="298">
        <f t="shared" si="8"/>
        <v>51238039.36199004</v>
      </c>
      <c r="O25" s="302">
        <f>SUM(C25:N25)</f>
        <v>630080232.2181315</v>
      </c>
      <c r="Q25" s="274" t="s">
        <v>367</v>
      </c>
      <c r="S25" s="273">
        <v>18785.24994125663</v>
      </c>
    </row>
    <row r="26" spans="1:19" ht="12.75">
      <c r="A26" s="18" t="s">
        <v>387</v>
      </c>
      <c r="B26" s="313"/>
      <c r="C26" s="298">
        <f aca="true" t="shared" si="9" ref="C26:N26">C12*C19</f>
        <v>-2582196.296447691</v>
      </c>
      <c r="D26" s="298">
        <f t="shared" si="9"/>
        <v>-2538484.3503030767</v>
      </c>
      <c r="E26" s="298">
        <f t="shared" si="9"/>
        <v>-2538484.3503030767</v>
      </c>
      <c r="F26" s="298">
        <f t="shared" si="9"/>
        <v>-2538484.3503030767</v>
      </c>
      <c r="G26" s="298">
        <f t="shared" si="9"/>
        <v>-2538484.3503030767</v>
      </c>
      <c r="H26" s="298">
        <f t="shared" si="9"/>
        <v>-2538484.3503030767</v>
      </c>
      <c r="I26" s="298">
        <f t="shared" si="9"/>
        <v>-2538484.3503030767</v>
      </c>
      <c r="J26" s="298">
        <f t="shared" si="9"/>
        <v>-2538484.3503030767</v>
      </c>
      <c r="K26" s="298">
        <f t="shared" si="9"/>
        <v>-2538484.3503030767</v>
      </c>
      <c r="L26" s="298">
        <f t="shared" si="9"/>
        <v>-2538484.3503030767</v>
      </c>
      <c r="M26" s="298">
        <f t="shared" si="9"/>
        <v>-2538484.350303077</v>
      </c>
      <c r="N26" s="298">
        <f t="shared" si="9"/>
        <v>-2538484.3503030767</v>
      </c>
      <c r="O26" s="302">
        <f>SUM(C26:N26)</f>
        <v>-30505524.149781533</v>
      </c>
      <c r="Q26" s="322" t="s">
        <v>417</v>
      </c>
      <c r="S26">
        <v>13876.117737293866</v>
      </c>
    </row>
    <row r="27" spans="1:19" ht="12.75">
      <c r="A27" s="250" t="s">
        <v>397</v>
      </c>
      <c r="B27" s="6"/>
      <c r="C27" s="68">
        <f>SUM(C25:C26)</f>
        <v>56947623.24660279</v>
      </c>
      <c r="D27" s="258">
        <f aca="true" t="shared" si="10" ref="D27:N27">D13*D19</f>
        <v>60644870.660889305</v>
      </c>
      <c r="E27" s="258">
        <f t="shared" si="10"/>
        <v>50009966.66845366</v>
      </c>
      <c r="F27" s="258">
        <f t="shared" si="10"/>
        <v>44901175.921977624</v>
      </c>
      <c r="G27" s="258">
        <f t="shared" si="10"/>
        <v>44813724.62809332</v>
      </c>
      <c r="H27" s="258">
        <f t="shared" si="10"/>
        <v>49410395.66613165</v>
      </c>
      <c r="I27" s="258">
        <f t="shared" si="10"/>
        <v>51205585.93657222</v>
      </c>
      <c r="J27" s="258">
        <f t="shared" si="10"/>
        <v>46945775.22551318</v>
      </c>
      <c r="K27" s="258">
        <f t="shared" si="10"/>
        <v>48156178.34325273</v>
      </c>
      <c r="L27" s="258">
        <f t="shared" si="10"/>
        <v>47765558.38856417</v>
      </c>
      <c r="M27" s="258">
        <f t="shared" si="10"/>
        <v>50074298.37061229</v>
      </c>
      <c r="N27" s="258">
        <f t="shared" si="10"/>
        <v>48699555.011686966</v>
      </c>
      <c r="O27" s="310">
        <f>SUM(C27:N27)</f>
        <v>599574708.0683498</v>
      </c>
      <c r="Q27" s="274" t="s">
        <v>368</v>
      </c>
      <c r="S27" s="273">
        <v>521547.1179536581</v>
      </c>
    </row>
    <row r="28" spans="1:19" ht="12.75">
      <c r="A28" s="315"/>
      <c r="B28" s="222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5"/>
      <c r="Q28" s="274" t="s">
        <v>369</v>
      </c>
      <c r="S28" s="273">
        <v>386585.01920330134</v>
      </c>
    </row>
    <row r="29" spans="1:15" ht="12.75">
      <c r="A29" s="315" t="s">
        <v>403</v>
      </c>
      <c r="B29" s="222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5"/>
    </row>
    <row r="30" spans="1:15" ht="12.75">
      <c r="A30" s="18" t="s">
        <v>9</v>
      </c>
      <c r="B30" s="222"/>
      <c r="C30" s="298">
        <f aca="true" t="shared" si="11" ref="C30:O30">C16-C25</f>
        <v>-38438.65545742959</v>
      </c>
      <c r="D30" s="298">
        <f t="shared" si="11"/>
        <v>13510.080190166831</v>
      </c>
      <c r="E30" s="298">
        <f t="shared" si="11"/>
        <v>0.12909123301506042</v>
      </c>
      <c r="F30" s="298">
        <f t="shared" si="11"/>
        <v>0.24943873286247253</v>
      </c>
      <c r="G30" s="298">
        <f t="shared" si="11"/>
        <v>0.24019037932157516</v>
      </c>
      <c r="H30" s="298">
        <f t="shared" si="11"/>
        <v>0.18401676416397095</v>
      </c>
      <c r="I30" s="298">
        <f t="shared" si="11"/>
        <v>0.10735949873924255</v>
      </c>
      <c r="J30" s="298">
        <f t="shared" si="11"/>
        <v>0.1948605328798294</v>
      </c>
      <c r="K30" s="298">
        <f t="shared" si="11"/>
        <v>0.16403447091579437</v>
      </c>
      <c r="L30" s="298">
        <f t="shared" si="11"/>
        <v>0.18388497084379196</v>
      </c>
      <c r="M30" s="298">
        <f t="shared" si="11"/>
        <v>0.2714034914970398</v>
      </c>
      <c r="N30" s="298">
        <f t="shared" si="11"/>
        <v>0.15478383004665375</v>
      </c>
      <c r="O30" s="303">
        <f t="shared" si="11"/>
        <v>-24926.69620358944</v>
      </c>
    </row>
    <row r="31" spans="1:15" ht="12.75">
      <c r="A31" s="18" t="s">
        <v>387</v>
      </c>
      <c r="B31" s="222"/>
      <c r="C31" s="298">
        <f aca="true" t="shared" si="12" ref="C31:O31">C17-C26</f>
        <v>43711.94614461437</v>
      </c>
      <c r="D31" s="298">
        <f t="shared" si="12"/>
        <v>0</v>
      </c>
      <c r="E31" s="298">
        <f t="shared" si="12"/>
        <v>0</v>
      </c>
      <c r="F31" s="298">
        <f t="shared" si="12"/>
        <v>0</v>
      </c>
      <c r="G31" s="298">
        <f t="shared" si="12"/>
        <v>0</v>
      </c>
      <c r="H31" s="298">
        <f t="shared" si="12"/>
        <v>0</v>
      </c>
      <c r="I31" s="298">
        <f t="shared" si="12"/>
        <v>0</v>
      </c>
      <c r="J31" s="298">
        <f t="shared" si="12"/>
        <v>0</v>
      </c>
      <c r="K31" s="298">
        <f t="shared" si="12"/>
        <v>0</v>
      </c>
      <c r="L31" s="298">
        <f t="shared" si="12"/>
        <v>0</v>
      </c>
      <c r="M31" s="298">
        <f t="shared" si="12"/>
        <v>0</v>
      </c>
      <c r="N31" s="298">
        <f t="shared" si="12"/>
        <v>0</v>
      </c>
      <c r="O31" s="303">
        <f t="shared" si="12"/>
        <v>43711.94614461437</v>
      </c>
    </row>
    <row r="32" spans="1:15" ht="12.75">
      <c r="A32" s="316" t="s">
        <v>398</v>
      </c>
      <c r="B32" s="311"/>
      <c r="C32" s="318">
        <f>SUM(C30:C31)</f>
        <v>5273.290687184781</v>
      </c>
      <c r="D32" s="318">
        <f aca="true" t="shared" si="13" ref="D32:O32">SUM(D30:D31)</f>
        <v>13510.080190166831</v>
      </c>
      <c r="E32" s="318">
        <f t="shared" si="13"/>
        <v>0.12909123301506042</v>
      </c>
      <c r="F32" s="318">
        <f t="shared" si="13"/>
        <v>0.24943873286247253</v>
      </c>
      <c r="G32" s="318">
        <f t="shared" si="13"/>
        <v>0.24019037932157516</v>
      </c>
      <c r="H32" s="318">
        <f t="shared" si="13"/>
        <v>0.18401676416397095</v>
      </c>
      <c r="I32" s="318">
        <f t="shared" si="13"/>
        <v>0.10735949873924255</v>
      </c>
      <c r="J32" s="318">
        <f t="shared" si="13"/>
        <v>0.1948605328798294</v>
      </c>
      <c r="K32" s="318">
        <f t="shared" si="13"/>
        <v>0.16403447091579437</v>
      </c>
      <c r="L32" s="318">
        <f t="shared" si="13"/>
        <v>0.18388497084379196</v>
      </c>
      <c r="M32" s="318">
        <f t="shared" si="13"/>
        <v>0.2714034914970398</v>
      </c>
      <c r="N32" s="318">
        <f t="shared" si="13"/>
        <v>0.15478383004665375</v>
      </c>
      <c r="O32" s="319">
        <f t="shared" si="13"/>
        <v>18785.24994102493</v>
      </c>
    </row>
    <row r="33" spans="1:14" ht="12.75">
      <c r="A33" s="3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2.75">
      <c r="A34" s="5" t="s">
        <v>394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2.75">
      <c r="A35" s="252" t="s">
        <v>356</v>
      </c>
      <c r="C35" s="59">
        <v>0</v>
      </c>
      <c r="D35" s="298">
        <f>C38</f>
        <v>3700.5317397319195</v>
      </c>
      <c r="E35" s="298">
        <f aca="true" t="shared" si="14" ref="E35:N35">D38</f>
        <v>13199.733171880152</v>
      </c>
      <c r="F35" s="298">
        <f t="shared" si="14"/>
        <v>13265.822427512321</v>
      </c>
      <c r="G35" s="298">
        <f t="shared" si="14"/>
        <v>13332.326583280668</v>
      </c>
      <c r="H35" s="298">
        <f t="shared" si="14"/>
        <v>13399.15676979576</v>
      </c>
      <c r="I35" s="298">
        <f t="shared" si="14"/>
        <v>13466.28168740899</v>
      </c>
      <c r="J35" s="298">
        <f t="shared" si="14"/>
        <v>13533.688435374275</v>
      </c>
      <c r="K35" s="298">
        <f t="shared" si="14"/>
        <v>13601.493620930096</v>
      </c>
      <c r="L35" s="298">
        <f t="shared" si="14"/>
        <v>13669.616200224711</v>
      </c>
      <c r="M35" s="298">
        <f t="shared" si="14"/>
        <v>13738.093322504124</v>
      </c>
      <c r="N35" s="298">
        <f t="shared" si="14"/>
        <v>13806.974246516804</v>
      </c>
    </row>
    <row r="36" spans="1:14" ht="12.75">
      <c r="A36" s="252" t="s">
        <v>357</v>
      </c>
      <c r="B36" s="299">
        <v>0.7</v>
      </c>
      <c r="C36" s="298">
        <f aca="true" t="shared" si="15" ref="C36:N36">$B36*C32</f>
        <v>3691.303481029346</v>
      </c>
      <c r="D36" s="298">
        <f t="shared" si="15"/>
        <v>9457.056133116781</v>
      </c>
      <c r="E36" s="298">
        <f t="shared" si="15"/>
        <v>0.09036386311054229</v>
      </c>
      <c r="F36" s="298">
        <f t="shared" si="15"/>
        <v>0.17460711300373077</v>
      </c>
      <c r="G36" s="298">
        <f t="shared" si="15"/>
        <v>0.1681332655251026</v>
      </c>
      <c r="H36" s="298">
        <f t="shared" si="15"/>
        <v>0.12881173491477965</v>
      </c>
      <c r="I36" s="298">
        <f t="shared" si="15"/>
        <v>0.07515164911746978</v>
      </c>
      <c r="J36" s="298">
        <f t="shared" si="15"/>
        <v>0.13640237301588057</v>
      </c>
      <c r="K36" s="298">
        <f t="shared" si="15"/>
        <v>0.11482412964105605</v>
      </c>
      <c r="L36" s="298">
        <f t="shared" si="15"/>
        <v>0.12871947959065436</v>
      </c>
      <c r="M36" s="298">
        <f t="shared" si="15"/>
        <v>0.18998244404792786</v>
      </c>
      <c r="N36" s="298">
        <f t="shared" si="15"/>
        <v>0.10834868103265761</v>
      </c>
    </row>
    <row r="37" spans="1:14" ht="12.75">
      <c r="A37" s="252" t="s">
        <v>358</v>
      </c>
      <c r="B37" s="300">
        <v>0.06</v>
      </c>
      <c r="C37" s="298">
        <f aca="true" t="shared" si="16" ref="C37:N37">($B37/12)*(C35+C36/2)</f>
        <v>9.228258702573365</v>
      </c>
      <c r="D37" s="298">
        <f t="shared" si="16"/>
        <v>42.14529903145155</v>
      </c>
      <c r="E37" s="298">
        <f t="shared" si="16"/>
        <v>65.99889176905853</v>
      </c>
      <c r="F37" s="298">
        <f t="shared" si="16"/>
        <v>66.32954865534411</v>
      </c>
      <c r="G37" s="298">
        <f t="shared" si="16"/>
        <v>66.66205324956715</v>
      </c>
      <c r="H37" s="298">
        <f t="shared" si="16"/>
        <v>66.99610587831609</v>
      </c>
      <c r="I37" s="298">
        <f t="shared" si="16"/>
        <v>67.33159631616775</v>
      </c>
      <c r="J37" s="298">
        <f t="shared" si="16"/>
        <v>67.66878318280392</v>
      </c>
      <c r="K37" s="298">
        <f t="shared" si="16"/>
        <v>68.00775516497458</v>
      </c>
      <c r="L37" s="298">
        <f t="shared" si="16"/>
        <v>68.34840279982254</v>
      </c>
      <c r="M37" s="298">
        <f t="shared" si="16"/>
        <v>68.69094156863075</v>
      </c>
      <c r="N37" s="298">
        <f t="shared" si="16"/>
        <v>69.03514210428659</v>
      </c>
    </row>
    <row r="38" spans="1:14" ht="12.75">
      <c r="A38" s="320" t="s">
        <v>392</v>
      </c>
      <c r="B38" s="320"/>
      <c r="C38" s="318">
        <f>SUM(C35:C37)</f>
        <v>3700.5317397319195</v>
      </c>
      <c r="D38" s="318">
        <f aca="true" t="shared" si="17" ref="D38:N38">SUM(D35:D37)</f>
        <v>13199.733171880152</v>
      </c>
      <c r="E38" s="318">
        <f t="shared" si="17"/>
        <v>13265.822427512321</v>
      </c>
      <c r="F38" s="318">
        <f t="shared" si="17"/>
        <v>13332.326583280668</v>
      </c>
      <c r="G38" s="318">
        <f t="shared" si="17"/>
        <v>13399.15676979576</v>
      </c>
      <c r="H38" s="318">
        <f t="shared" si="17"/>
        <v>13466.28168740899</v>
      </c>
      <c r="I38" s="318">
        <f t="shared" si="17"/>
        <v>13533.688435374275</v>
      </c>
      <c r="J38" s="318">
        <f t="shared" si="17"/>
        <v>13601.493620930096</v>
      </c>
      <c r="K38" s="318">
        <f t="shared" si="17"/>
        <v>13669.616200224711</v>
      </c>
      <c r="L38" s="318">
        <f t="shared" si="17"/>
        <v>13738.093322504124</v>
      </c>
      <c r="M38" s="318">
        <f t="shared" si="17"/>
        <v>13806.974246516804</v>
      </c>
      <c r="N38" s="321">
        <f t="shared" si="17"/>
        <v>13876.117737302124</v>
      </c>
    </row>
    <row r="39" ht="12.75">
      <c r="C39" s="59"/>
    </row>
    <row r="41" ht="12.75">
      <c r="A41" s="5" t="s">
        <v>400</v>
      </c>
    </row>
    <row r="42" spans="1:15" ht="12.75">
      <c r="A42" s="250" t="s">
        <v>393</v>
      </c>
      <c r="B42" s="262"/>
      <c r="C42" s="224" t="s">
        <v>121</v>
      </c>
      <c r="D42" s="224" t="s">
        <v>122</v>
      </c>
      <c r="E42" s="253" t="s">
        <v>123</v>
      </c>
      <c r="F42" s="253" t="s">
        <v>124</v>
      </c>
      <c r="G42" s="253" t="s">
        <v>125</v>
      </c>
      <c r="H42" s="284" t="s">
        <v>126</v>
      </c>
      <c r="I42" s="253" t="s">
        <v>127</v>
      </c>
      <c r="J42" s="253" t="s">
        <v>128</v>
      </c>
      <c r="K42" s="253" t="s">
        <v>129</v>
      </c>
      <c r="L42" s="253" t="s">
        <v>130</v>
      </c>
      <c r="M42" s="253" t="s">
        <v>131</v>
      </c>
      <c r="N42" s="253" t="s">
        <v>132</v>
      </c>
      <c r="O42" s="254" t="s">
        <v>377</v>
      </c>
    </row>
    <row r="43" spans="1:15" ht="12.75">
      <c r="A43" s="312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286"/>
    </row>
    <row r="44" spans="1:15" ht="12.75">
      <c r="A44" s="315" t="s">
        <v>361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286"/>
    </row>
    <row r="45" spans="1:15" ht="12.75">
      <c r="A45" s="18" t="s">
        <v>9</v>
      </c>
      <c r="B45" s="313"/>
      <c r="C45" s="59">
        <f>'Base Forecast'!C466</f>
        <v>61067787.42971341</v>
      </c>
      <c r="D45" s="59">
        <f>'Base Forecast'!D466</f>
        <v>66191892.217727154</v>
      </c>
      <c r="E45" s="59">
        <f>'Base Forecast'!E466</f>
        <v>53375483.721298225</v>
      </c>
      <c r="F45" s="59">
        <f>'Base Forecast'!F466</f>
        <v>47112278.4867085</v>
      </c>
      <c r="G45" s="59">
        <f>'Base Forecast'!G466</f>
        <v>46392484.40444042</v>
      </c>
      <c r="H45" s="59">
        <f>'Base Forecast'!H466</f>
        <v>49568591.854187734</v>
      </c>
      <c r="I45" s="59">
        <f>'Base Forecast'!I466</f>
        <v>51632061.51662166</v>
      </c>
      <c r="J45" s="59">
        <f>'Base Forecast'!J466</f>
        <v>48052720.26845937</v>
      </c>
      <c r="K45" s="59">
        <f>'Base Forecast'!K466</f>
        <v>49622710.79600633</v>
      </c>
      <c r="L45" s="59">
        <f>'Base Forecast'!L466</f>
        <v>50321083.02746985</v>
      </c>
      <c r="M45" s="59">
        <f>'Base Forecast'!M466</f>
        <v>52745601.244737245</v>
      </c>
      <c r="N45" s="59">
        <f>'Base Forecast'!N466</f>
        <v>52989804.3106114</v>
      </c>
      <c r="O45" s="302">
        <f>SUM(C45:N45)</f>
        <v>629072499.2779813</v>
      </c>
    </row>
    <row r="46" spans="1:15" ht="12.75">
      <c r="A46" s="18" t="s">
        <v>387</v>
      </c>
      <c r="B46" s="313"/>
      <c r="C46" s="59">
        <f>-'Base Forecast'!C479</f>
        <v>-2538484.3503030767</v>
      </c>
      <c r="D46" s="59">
        <f>-'Base Forecast'!D479</f>
        <v>-2538484.3503030767</v>
      </c>
      <c r="E46" s="59">
        <f>-'Base Forecast'!E479</f>
        <v>-2538484.3503030767</v>
      </c>
      <c r="F46" s="59">
        <f>-'Base Forecast'!F479</f>
        <v>-2538484.3503030767</v>
      </c>
      <c r="G46" s="59">
        <f>-'Base Forecast'!G479</f>
        <v>-2538484.3503030767</v>
      </c>
      <c r="H46" s="59">
        <f>-'Base Forecast'!H479</f>
        <v>-2538484.3503030767</v>
      </c>
      <c r="I46" s="59">
        <f>-'Base Forecast'!I479</f>
        <v>-2538484.3503030767</v>
      </c>
      <c r="J46" s="59">
        <f>-'Base Forecast'!J479</f>
        <v>-2538484.3503030767</v>
      </c>
      <c r="K46" s="59">
        <f>-'Base Forecast'!K479</f>
        <v>-2538484.3503030767</v>
      </c>
      <c r="L46" s="59">
        <f>-'Base Forecast'!L479</f>
        <v>-2538484.3503030767</v>
      </c>
      <c r="M46" s="59">
        <f>-'Base Forecast'!M479</f>
        <v>-2538484.3503030767</v>
      </c>
      <c r="N46" s="59">
        <f>-'Base Forecast'!N479</f>
        <v>-2538484.3503030767</v>
      </c>
      <c r="O46" s="302">
        <f>SUM(C46:N46)</f>
        <v>-30461812.20363692</v>
      </c>
    </row>
    <row r="47" spans="1:15" ht="12.75">
      <c r="A47" s="250" t="s">
        <v>401</v>
      </c>
      <c r="B47" s="6"/>
      <c r="C47" s="258">
        <f>SUM(C45:C46)</f>
        <v>58529303.07941034</v>
      </c>
      <c r="D47" s="258">
        <f aca="true" t="shared" si="18" ref="D47:O47">SUM(D45:D46)</f>
        <v>63653407.86742408</v>
      </c>
      <c r="E47" s="258">
        <f t="shared" si="18"/>
        <v>50836999.37099515</v>
      </c>
      <c r="F47" s="258">
        <f t="shared" si="18"/>
        <v>44573794.13640542</v>
      </c>
      <c r="G47" s="258">
        <f t="shared" si="18"/>
        <v>43854000.05413734</v>
      </c>
      <c r="H47" s="258">
        <f t="shared" si="18"/>
        <v>47030107.50388466</v>
      </c>
      <c r="I47" s="258">
        <f t="shared" si="18"/>
        <v>49093577.16631858</v>
      </c>
      <c r="J47" s="258">
        <f t="shared" si="18"/>
        <v>45514235.918156296</v>
      </c>
      <c r="K47" s="258">
        <f t="shared" si="18"/>
        <v>47084226.44570325</v>
      </c>
      <c r="L47" s="258">
        <f t="shared" si="18"/>
        <v>47782598.677166775</v>
      </c>
      <c r="M47" s="258">
        <f t="shared" si="18"/>
        <v>50207116.89443417</v>
      </c>
      <c r="N47" s="258">
        <f t="shared" si="18"/>
        <v>50451319.96030832</v>
      </c>
      <c r="O47" s="310">
        <f t="shared" si="18"/>
        <v>598610687.0743444</v>
      </c>
    </row>
    <row r="48" spans="1:15" ht="12.75">
      <c r="A48" s="18" t="s">
        <v>388</v>
      </c>
      <c r="B48" s="313"/>
      <c r="C48" s="313">
        <f>'Base Forecast'!C490</f>
        <v>2487068.8526099944</v>
      </c>
      <c r="D48" s="313">
        <f>'Base Forecast'!D490</f>
        <v>2438509.7444056342</v>
      </c>
      <c r="E48" s="313">
        <f>'Base Forecast'!E490</f>
        <v>2080961.8373600258</v>
      </c>
      <c r="F48" s="313">
        <f>'Base Forecast'!F490</f>
        <v>2071429.3328379635</v>
      </c>
      <c r="G48" s="313">
        <f>'Base Forecast'!G490</f>
        <v>2071815.7681234297</v>
      </c>
      <c r="H48" s="313">
        <f>'Base Forecast'!H490</f>
        <v>2188690.6580353575</v>
      </c>
      <c r="I48" s="313">
        <f>'Base Forecast'!I490</f>
        <v>2214778.992962022</v>
      </c>
      <c r="J48" s="313">
        <f>'Base Forecast'!J490</f>
        <v>2061686.698582105</v>
      </c>
      <c r="K48" s="313">
        <f>'Base Forecast'!K490</f>
        <v>2151582.6614674903</v>
      </c>
      <c r="L48" s="313">
        <f>'Base Forecast'!L490</f>
        <v>2067721.3107937044</v>
      </c>
      <c r="M48" s="313">
        <f>'Base Forecast'!M490</f>
        <v>2144934.3661793056</v>
      </c>
      <c r="N48" s="313">
        <f>'Base Forecast'!N490</f>
        <v>2247828.3069755384</v>
      </c>
      <c r="O48" s="286">
        <f>SUM(C48:N48)</f>
        <v>26227008.530332573</v>
      </c>
    </row>
    <row r="49" spans="1:15" ht="12.75">
      <c r="A49" s="18" t="s">
        <v>389</v>
      </c>
      <c r="B49" s="313"/>
      <c r="C49" s="306">
        <f aca="true" t="shared" si="19" ref="C49:O49">C45/C48</f>
        <v>24.55412015056491</v>
      </c>
      <c r="D49" s="259">
        <f t="shared" si="19"/>
        <v>27.144403408509184</v>
      </c>
      <c r="E49" s="259">
        <f t="shared" si="19"/>
        <v>25.649429395116663</v>
      </c>
      <c r="F49" s="259">
        <f t="shared" si="19"/>
        <v>22.743850219675263</v>
      </c>
      <c r="G49" s="259">
        <f t="shared" si="19"/>
        <v>22.392186177085105</v>
      </c>
      <c r="H49" s="259">
        <f t="shared" si="19"/>
        <v>22.647600597282292</v>
      </c>
      <c r="I49" s="259">
        <f t="shared" si="19"/>
        <v>23.312511849125627</v>
      </c>
      <c r="J49" s="259">
        <f t="shared" si="19"/>
        <v>23.30747940582191</v>
      </c>
      <c r="K49" s="259">
        <f t="shared" si="19"/>
        <v>23.063353170061838</v>
      </c>
      <c r="L49" s="259">
        <f t="shared" si="19"/>
        <v>24.336491946370604</v>
      </c>
      <c r="M49" s="259">
        <f t="shared" si="19"/>
        <v>24.590776331627847</v>
      </c>
      <c r="N49" s="259">
        <f t="shared" si="19"/>
        <v>23.573777474984013</v>
      </c>
      <c r="O49" s="307">
        <f t="shared" si="19"/>
        <v>23.98567486453646</v>
      </c>
    </row>
    <row r="50" spans="1:15" ht="12.75">
      <c r="A50" s="18" t="s">
        <v>390</v>
      </c>
      <c r="B50" s="313"/>
      <c r="C50" s="306">
        <f>C46/C48</f>
        <v>-1.020673129993617</v>
      </c>
      <c r="D50" s="259">
        <f aca="true" t="shared" si="20" ref="D50:N50">D46/D48</f>
        <v>-1.0409982392429644</v>
      </c>
      <c r="E50" s="259">
        <f t="shared" si="20"/>
        <v>-1.21986107805008</v>
      </c>
      <c r="F50" s="259">
        <f t="shared" si="20"/>
        <v>-1.2254747531383192</v>
      </c>
      <c r="G50" s="259">
        <f t="shared" si="20"/>
        <v>-1.2252461774640981</v>
      </c>
      <c r="H50" s="259">
        <f t="shared" si="20"/>
        <v>-1.1598186984458123</v>
      </c>
      <c r="I50" s="259">
        <f t="shared" si="20"/>
        <v>-1.1461569566849352</v>
      </c>
      <c r="J50" s="259">
        <f t="shared" si="20"/>
        <v>-1.2312658135927648</v>
      </c>
      <c r="K50" s="259">
        <f t="shared" si="20"/>
        <v>-1.1798219030877017</v>
      </c>
      <c r="L50" s="259">
        <f t="shared" si="20"/>
        <v>-1.2276723836292367</v>
      </c>
      <c r="M50" s="259">
        <f t="shared" si="20"/>
        <v>-1.1834788002510248</v>
      </c>
      <c r="N50" s="259">
        <f t="shared" si="20"/>
        <v>-1.1293052687456442</v>
      </c>
      <c r="O50" s="307">
        <f>O46/O48</f>
        <v>-1.1614672778409565</v>
      </c>
    </row>
    <row r="51" spans="1:15" ht="12.75">
      <c r="A51" s="18" t="s">
        <v>386</v>
      </c>
      <c r="B51" s="313"/>
      <c r="C51" s="306">
        <f aca="true" t="shared" si="21" ref="C51:O51">SUM(C49:C50)</f>
        <v>23.53344702057129</v>
      </c>
      <c r="D51" s="138">
        <f t="shared" si="21"/>
        <v>26.10340516926622</v>
      </c>
      <c r="E51" s="138">
        <f t="shared" si="21"/>
        <v>24.429568317066582</v>
      </c>
      <c r="F51" s="138">
        <f t="shared" si="21"/>
        <v>21.518375466536945</v>
      </c>
      <c r="G51" s="138">
        <f t="shared" si="21"/>
        <v>21.166939999621007</v>
      </c>
      <c r="H51" s="138">
        <f t="shared" si="21"/>
        <v>21.48778189883648</v>
      </c>
      <c r="I51" s="138">
        <f t="shared" si="21"/>
        <v>22.166354892440694</v>
      </c>
      <c r="J51" s="138">
        <f t="shared" si="21"/>
        <v>22.076213592229145</v>
      </c>
      <c r="K51" s="138">
        <f t="shared" si="21"/>
        <v>21.883531266974135</v>
      </c>
      <c r="L51" s="138">
        <f t="shared" si="21"/>
        <v>23.108819562741367</v>
      </c>
      <c r="M51" s="138">
        <f t="shared" si="21"/>
        <v>23.407297531376823</v>
      </c>
      <c r="N51" s="138">
        <f t="shared" si="21"/>
        <v>22.44447220623837</v>
      </c>
      <c r="O51" s="304">
        <f t="shared" si="21"/>
        <v>22.824207586695504</v>
      </c>
    </row>
    <row r="52" spans="1:17" ht="12.75">
      <c r="A52" s="18"/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286"/>
      <c r="Q52" s="271"/>
    </row>
    <row r="53" spans="1:17" ht="12.75">
      <c r="A53" s="315" t="s">
        <v>347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286"/>
      <c r="Q53" s="271"/>
    </row>
    <row r="54" spans="1:17" ht="12.75">
      <c r="A54" s="18" t="s">
        <v>9</v>
      </c>
      <c r="B54" s="313"/>
      <c r="C54" s="298">
        <f>'Utah Spike'!C466</f>
        <v>62583291.94702837</v>
      </c>
      <c r="D54" s="298">
        <f>'Utah Spike'!D466</f>
        <v>66205790.16299917</v>
      </c>
      <c r="E54" s="298">
        <f>'Utah Spike'!E466</f>
        <v>53375483.85242608</v>
      </c>
      <c r="F54" s="298">
        <f>'Utah Spike'!F466</f>
        <v>47112278.734219275</v>
      </c>
      <c r="G54" s="298">
        <f>'Utah Spike'!G466</f>
        <v>46392484.63947326</v>
      </c>
      <c r="H54" s="298">
        <f>'Utah Spike'!H466</f>
        <v>49568592.02958744</v>
      </c>
      <c r="I54" s="298">
        <f>'Utah Spike'!I466</f>
        <v>51632061.61985664</v>
      </c>
      <c r="J54" s="298">
        <f>'Utah Spike'!J466</f>
        <v>48052720.45800797</v>
      </c>
      <c r="K54" s="298">
        <f>'Utah Spike'!K466</f>
        <v>49622710.956945285</v>
      </c>
      <c r="L54" s="298">
        <f>'Utah Spike'!L466</f>
        <v>50321083.21216467</v>
      </c>
      <c r="M54" s="298">
        <f>'Utah Spike'!M466</f>
        <v>52745601.51782762</v>
      </c>
      <c r="N54" s="298">
        <f>'Utah Spike'!N466</f>
        <v>52989804.471130475</v>
      </c>
      <c r="O54" s="302">
        <f>SUM(C54:N54)</f>
        <v>630601903.6016663</v>
      </c>
      <c r="Q54" s="271"/>
    </row>
    <row r="55" spans="1:17" ht="12.75">
      <c r="A55" s="18" t="s">
        <v>387</v>
      </c>
      <c r="B55" s="313"/>
      <c r="C55" s="298">
        <f>-'Utah Spike'!C479</f>
        <v>-2538484.3503030767</v>
      </c>
      <c r="D55" s="298">
        <f>-'Utah Spike'!D479</f>
        <v>-2538484.3503030767</v>
      </c>
      <c r="E55" s="298">
        <f>-'Utah Spike'!E479</f>
        <v>-2538484.3503030767</v>
      </c>
      <c r="F55" s="298">
        <f>-'Utah Spike'!F479</f>
        <v>-2538484.3503030767</v>
      </c>
      <c r="G55" s="298">
        <f>-'Utah Spike'!G479</f>
        <v>-2538484.3503030767</v>
      </c>
      <c r="H55" s="298">
        <f>-'Utah Spike'!H479</f>
        <v>-2538484.3503030767</v>
      </c>
      <c r="I55" s="298">
        <f>-'Utah Spike'!I479</f>
        <v>-2538484.3503030767</v>
      </c>
      <c r="J55" s="298">
        <f>-'Utah Spike'!J479</f>
        <v>-2538484.3503030767</v>
      </c>
      <c r="K55" s="298">
        <f>-'Utah Spike'!K479</f>
        <v>-2538484.3503030767</v>
      </c>
      <c r="L55" s="298">
        <f>-'Utah Spike'!L479</f>
        <v>-2538484.3503030767</v>
      </c>
      <c r="M55" s="298">
        <f>-'Utah Spike'!M479</f>
        <v>-2538484.3503030767</v>
      </c>
      <c r="N55" s="298">
        <f>-'Utah Spike'!N479</f>
        <v>-2538484.3503030767</v>
      </c>
      <c r="O55" s="302">
        <f>SUM(C55:N55)</f>
        <v>-30461812.20363692</v>
      </c>
      <c r="Q55" s="271"/>
    </row>
    <row r="56" spans="1:17" ht="12.75">
      <c r="A56" s="250" t="s">
        <v>396</v>
      </c>
      <c r="B56" s="6"/>
      <c r="C56" s="258">
        <f>SUM(C54:C55)</f>
        <v>60044807.59672529</v>
      </c>
      <c r="D56" s="258">
        <f aca="true" t="shared" si="22" ref="D56:O56">SUM(D54:D55)</f>
        <v>63667305.81269609</v>
      </c>
      <c r="E56" s="258">
        <f t="shared" si="22"/>
        <v>50836999.502123006</v>
      </c>
      <c r="F56" s="258">
        <f t="shared" si="22"/>
        <v>44573794.3839162</v>
      </c>
      <c r="G56" s="258">
        <f t="shared" si="22"/>
        <v>43854000.28917018</v>
      </c>
      <c r="H56" s="258">
        <f t="shared" si="22"/>
        <v>47030107.679284364</v>
      </c>
      <c r="I56" s="258">
        <f t="shared" si="22"/>
        <v>49093577.269553564</v>
      </c>
      <c r="J56" s="258">
        <f t="shared" si="22"/>
        <v>45514236.10770489</v>
      </c>
      <c r="K56" s="258">
        <f t="shared" si="22"/>
        <v>47084226.60664221</v>
      </c>
      <c r="L56" s="258">
        <f t="shared" si="22"/>
        <v>47782598.861861594</v>
      </c>
      <c r="M56" s="258">
        <f t="shared" si="22"/>
        <v>50207117.16752455</v>
      </c>
      <c r="N56" s="258">
        <f t="shared" si="22"/>
        <v>50451320.1208274</v>
      </c>
      <c r="O56" s="310">
        <f t="shared" si="22"/>
        <v>600140091.3980294</v>
      </c>
      <c r="Q56" s="271"/>
    </row>
    <row r="57" spans="1:15" ht="12.75">
      <c r="A57" s="18" t="s">
        <v>388</v>
      </c>
      <c r="B57" s="313"/>
      <c r="C57" s="298">
        <f>'Utah Spike'!C490</f>
        <v>2529895.4391636034</v>
      </c>
      <c r="D57" s="298">
        <f>'Utah Spike'!D490</f>
        <v>2438509.7444056342</v>
      </c>
      <c r="E57" s="298">
        <f>'Utah Spike'!E490</f>
        <v>2080961.8373600258</v>
      </c>
      <c r="F57" s="298">
        <f>'Utah Spike'!F490</f>
        <v>2071429.3328379635</v>
      </c>
      <c r="G57" s="298">
        <f>'Utah Spike'!G490</f>
        <v>2071815.7681234297</v>
      </c>
      <c r="H57" s="298">
        <f>'Utah Spike'!H490</f>
        <v>2188690.6580353575</v>
      </c>
      <c r="I57" s="298">
        <f>'Utah Spike'!I490</f>
        <v>2214778.992962022</v>
      </c>
      <c r="J57" s="298">
        <f>'Utah Spike'!J490</f>
        <v>2061686.698582105</v>
      </c>
      <c r="K57" s="298">
        <f>'Utah Spike'!K490</f>
        <v>2151582.6614674903</v>
      </c>
      <c r="L57" s="298">
        <f>'Utah Spike'!L490</f>
        <v>2067721.3107937044</v>
      </c>
      <c r="M57" s="298">
        <f>'Utah Spike'!M490</f>
        <v>2144934.3661793056</v>
      </c>
      <c r="N57" s="298">
        <f>'Utah Spike'!N490</f>
        <v>2247828.3069755384</v>
      </c>
      <c r="O57" s="286">
        <f>SUM(C57:N57)</f>
        <v>26269835.11688618</v>
      </c>
    </row>
    <row r="58" spans="1:15" ht="12.75">
      <c r="A58" s="18" t="s">
        <v>389</v>
      </c>
      <c r="B58" s="313"/>
      <c r="C58" s="306">
        <f aca="true" t="shared" si="23" ref="C58:O58">C54/C57</f>
        <v>24.737501391645946</v>
      </c>
      <c r="D58" s="259">
        <f t="shared" si="23"/>
        <v>27.15010276866302</v>
      </c>
      <c r="E58" s="259">
        <f t="shared" si="23"/>
        <v>25.649429458129763</v>
      </c>
      <c r="F58" s="259">
        <f t="shared" si="23"/>
        <v>22.74385033916318</v>
      </c>
      <c r="G58" s="259">
        <f t="shared" si="23"/>
        <v>22.392186290528027</v>
      </c>
      <c r="H58" s="259">
        <f t="shared" si="23"/>
        <v>22.647600677421394</v>
      </c>
      <c r="I58" s="259">
        <f t="shared" si="23"/>
        <v>23.312511895737494</v>
      </c>
      <c r="J58" s="259">
        <f t="shared" si="23"/>
        <v>23.30747949776051</v>
      </c>
      <c r="K58" s="259">
        <f t="shared" si="23"/>
        <v>23.063353244862103</v>
      </c>
      <c r="L58" s="259">
        <f t="shared" si="23"/>
        <v>24.33649203569348</v>
      </c>
      <c r="M58" s="259">
        <f t="shared" si="23"/>
        <v>24.590776458946603</v>
      </c>
      <c r="N58" s="259">
        <f t="shared" si="23"/>
        <v>23.57377754639475</v>
      </c>
      <c r="O58" s="307">
        <f t="shared" si="23"/>
        <v>24.00479107675545</v>
      </c>
    </row>
    <row r="59" spans="1:15" ht="12.75">
      <c r="A59" s="18" t="s">
        <v>390</v>
      </c>
      <c r="B59" s="313"/>
      <c r="C59" s="306">
        <f>C55/C57</f>
        <v>-1.0033949668458682</v>
      </c>
      <c r="D59" s="259">
        <f aca="true" t="shared" si="24" ref="D59:N59">D55/D57</f>
        <v>-1.0409982392429644</v>
      </c>
      <c r="E59" s="259">
        <f t="shared" si="24"/>
        <v>-1.21986107805008</v>
      </c>
      <c r="F59" s="259">
        <f t="shared" si="24"/>
        <v>-1.2254747531383192</v>
      </c>
      <c r="G59" s="259">
        <f t="shared" si="24"/>
        <v>-1.2252461774640981</v>
      </c>
      <c r="H59" s="259">
        <f t="shared" si="24"/>
        <v>-1.1598186984458123</v>
      </c>
      <c r="I59" s="259">
        <f t="shared" si="24"/>
        <v>-1.1461569566849352</v>
      </c>
      <c r="J59" s="259">
        <f t="shared" si="24"/>
        <v>-1.2312658135927648</v>
      </c>
      <c r="K59" s="259">
        <f t="shared" si="24"/>
        <v>-1.1798219030877017</v>
      </c>
      <c r="L59" s="259">
        <f t="shared" si="24"/>
        <v>-1.2276723836292367</v>
      </c>
      <c r="M59" s="259">
        <f t="shared" si="24"/>
        <v>-1.1834788002510248</v>
      </c>
      <c r="N59" s="259">
        <f t="shared" si="24"/>
        <v>-1.1293052687456442</v>
      </c>
      <c r="O59" s="307">
        <f>O55/O57</f>
        <v>-1.1595737875056606</v>
      </c>
    </row>
    <row r="60" spans="1:17" ht="12.75">
      <c r="A60" s="18" t="s">
        <v>386</v>
      </c>
      <c r="B60" s="313"/>
      <c r="C60" s="306">
        <f aca="true" t="shared" si="25" ref="C60:O60">SUM(C58:C59)</f>
        <v>23.73410642480008</v>
      </c>
      <c r="D60" s="138">
        <f t="shared" si="25"/>
        <v>26.10910452942006</v>
      </c>
      <c r="E60" s="138">
        <f t="shared" si="25"/>
        <v>24.429568380079683</v>
      </c>
      <c r="F60" s="138">
        <f t="shared" si="25"/>
        <v>21.518375586024863</v>
      </c>
      <c r="G60" s="138">
        <f t="shared" si="25"/>
        <v>21.16694011306393</v>
      </c>
      <c r="H60" s="138">
        <f t="shared" si="25"/>
        <v>21.487781978975583</v>
      </c>
      <c r="I60" s="138">
        <f t="shared" si="25"/>
        <v>22.16635493905256</v>
      </c>
      <c r="J60" s="138">
        <f t="shared" si="25"/>
        <v>22.076213684167747</v>
      </c>
      <c r="K60" s="138">
        <f t="shared" si="25"/>
        <v>21.8835313417744</v>
      </c>
      <c r="L60" s="138">
        <f t="shared" si="25"/>
        <v>23.108819652064245</v>
      </c>
      <c r="M60" s="138">
        <f t="shared" si="25"/>
        <v>23.40729765869558</v>
      </c>
      <c r="N60" s="138">
        <f t="shared" si="25"/>
        <v>22.44447227764911</v>
      </c>
      <c r="O60" s="304">
        <f t="shared" si="25"/>
        <v>22.84521728924979</v>
      </c>
      <c r="Q60" s="271"/>
    </row>
    <row r="61" spans="1:17" ht="12.75">
      <c r="A61" s="18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286"/>
      <c r="Q61" s="271"/>
    </row>
    <row r="62" spans="1:17" ht="12.75">
      <c r="A62" s="315" t="s">
        <v>391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286"/>
      <c r="Q62" s="271"/>
    </row>
    <row r="63" spans="1:17" ht="12.75">
      <c r="A63" s="18" t="s">
        <v>9</v>
      </c>
      <c r="B63" s="313"/>
      <c r="C63" s="314">
        <f>C49*C57</f>
        <v>62119356.5815893</v>
      </c>
      <c r="D63" s="314">
        <f aca="true" t="shared" si="26" ref="D63:N63">D49*D57</f>
        <v>66191892.217727154</v>
      </c>
      <c r="E63" s="314">
        <f t="shared" si="26"/>
        <v>53375483.721298225</v>
      </c>
      <c r="F63" s="314">
        <f t="shared" si="26"/>
        <v>47112278.4867085</v>
      </c>
      <c r="G63" s="314">
        <f t="shared" si="26"/>
        <v>46392484.40444042</v>
      </c>
      <c r="H63" s="314">
        <f t="shared" si="26"/>
        <v>49568591.854187734</v>
      </c>
      <c r="I63" s="314">
        <f t="shared" si="26"/>
        <v>51632061.51662166</v>
      </c>
      <c r="J63" s="314">
        <f t="shared" si="26"/>
        <v>48052720.26845937</v>
      </c>
      <c r="K63" s="314">
        <f t="shared" si="26"/>
        <v>49622710.79600633</v>
      </c>
      <c r="L63" s="314">
        <f t="shared" si="26"/>
        <v>50321083.02746985</v>
      </c>
      <c r="M63" s="314">
        <f t="shared" si="26"/>
        <v>52745601.244737245</v>
      </c>
      <c r="N63" s="314">
        <f t="shared" si="26"/>
        <v>52989804.3106114</v>
      </c>
      <c r="O63" s="302">
        <f>SUM(C63:N63)</f>
        <v>630124068.4298571</v>
      </c>
      <c r="Q63" s="271"/>
    </row>
    <row r="64" spans="1:17" ht="12.75">
      <c r="A64" s="18" t="s">
        <v>387</v>
      </c>
      <c r="B64" s="313"/>
      <c r="C64" s="314">
        <f>C50*C57</f>
        <v>-2582196.296447691</v>
      </c>
      <c r="D64" s="314">
        <f aca="true" t="shared" si="27" ref="D64:N64">D50*D57</f>
        <v>-2538484.3503030767</v>
      </c>
      <c r="E64" s="314">
        <f t="shared" si="27"/>
        <v>-2538484.3503030767</v>
      </c>
      <c r="F64" s="314">
        <f t="shared" si="27"/>
        <v>-2538484.3503030767</v>
      </c>
      <c r="G64" s="314">
        <f t="shared" si="27"/>
        <v>-2538484.3503030767</v>
      </c>
      <c r="H64" s="314">
        <f t="shared" si="27"/>
        <v>-2538484.3503030767</v>
      </c>
      <c r="I64" s="314">
        <f t="shared" si="27"/>
        <v>-2538484.3503030767</v>
      </c>
      <c r="J64" s="314">
        <f t="shared" si="27"/>
        <v>-2538484.3503030767</v>
      </c>
      <c r="K64" s="314">
        <f t="shared" si="27"/>
        <v>-2538484.3503030767</v>
      </c>
      <c r="L64" s="314">
        <f t="shared" si="27"/>
        <v>-2538484.3503030767</v>
      </c>
      <c r="M64" s="314">
        <f t="shared" si="27"/>
        <v>-2538484.350303077</v>
      </c>
      <c r="N64" s="314">
        <f t="shared" si="27"/>
        <v>-2538484.3503030767</v>
      </c>
      <c r="O64" s="302">
        <f>SUM(C64:N64)</f>
        <v>-30505524.149781533</v>
      </c>
      <c r="Q64" s="271"/>
    </row>
    <row r="65" spans="1:17" ht="12.75">
      <c r="A65" s="250" t="s">
        <v>397</v>
      </c>
      <c r="B65" s="262"/>
      <c r="C65" s="258">
        <f>SUM(C63:C64)</f>
        <v>59537160.2851416</v>
      </c>
      <c r="D65" s="258">
        <f aca="true" t="shared" si="28" ref="D65:O65">SUM(D63:D64)</f>
        <v>63653407.86742408</v>
      </c>
      <c r="E65" s="258">
        <f t="shared" si="28"/>
        <v>50836999.37099515</v>
      </c>
      <c r="F65" s="258">
        <f t="shared" si="28"/>
        <v>44573794.13640542</v>
      </c>
      <c r="G65" s="258">
        <f t="shared" si="28"/>
        <v>43854000.05413734</v>
      </c>
      <c r="H65" s="258">
        <f t="shared" si="28"/>
        <v>47030107.50388466</v>
      </c>
      <c r="I65" s="258">
        <f t="shared" si="28"/>
        <v>49093577.16631858</v>
      </c>
      <c r="J65" s="258">
        <f t="shared" si="28"/>
        <v>45514235.918156296</v>
      </c>
      <c r="K65" s="258">
        <f t="shared" si="28"/>
        <v>47084226.44570325</v>
      </c>
      <c r="L65" s="258">
        <f t="shared" si="28"/>
        <v>47782598.677166775</v>
      </c>
      <c r="M65" s="258">
        <f t="shared" si="28"/>
        <v>50207116.89443417</v>
      </c>
      <c r="N65" s="258">
        <f t="shared" si="28"/>
        <v>50451319.96030832</v>
      </c>
      <c r="O65" s="310">
        <f t="shared" si="28"/>
        <v>599618544.2800756</v>
      </c>
      <c r="Q65" s="271"/>
    </row>
    <row r="66" spans="1:17" ht="12.75">
      <c r="A66" s="315"/>
      <c r="B66" s="313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5"/>
      <c r="Q66" s="271"/>
    </row>
    <row r="67" spans="1:17" ht="12.75">
      <c r="A67" s="315" t="s">
        <v>402</v>
      </c>
      <c r="B67" s="313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5"/>
      <c r="Q67" s="271"/>
    </row>
    <row r="68" spans="1:17" ht="12.75">
      <c r="A68" s="18" t="s">
        <v>9</v>
      </c>
      <c r="B68" s="313"/>
      <c r="C68" s="298">
        <f>C54-C63</f>
        <v>463935.36543907225</v>
      </c>
      <c r="D68" s="298">
        <f aca="true" t="shared" si="29" ref="D68:N68">D54-D63</f>
        <v>13897.945272013545</v>
      </c>
      <c r="E68" s="298">
        <f t="shared" si="29"/>
        <v>0.13112785667181015</v>
      </c>
      <c r="F68" s="298">
        <f t="shared" si="29"/>
        <v>0.24751077592372894</v>
      </c>
      <c r="G68" s="298">
        <f t="shared" si="29"/>
        <v>0.2350328415632248</v>
      </c>
      <c r="H68" s="298">
        <f t="shared" si="29"/>
        <v>0.17539970576763153</v>
      </c>
      <c r="I68" s="298">
        <f t="shared" si="29"/>
        <v>0.10323498398065567</v>
      </c>
      <c r="J68" s="298">
        <f t="shared" si="29"/>
        <v>0.18954859673976898</v>
      </c>
      <c r="K68" s="298">
        <f t="shared" si="29"/>
        <v>0.16093895584344864</v>
      </c>
      <c r="L68" s="298">
        <f t="shared" si="29"/>
        <v>0.1846948191523552</v>
      </c>
      <c r="M68" s="298">
        <f t="shared" si="29"/>
        <v>0.2730903774499893</v>
      </c>
      <c r="N68" s="298">
        <f t="shared" si="29"/>
        <v>0.160519078373909</v>
      </c>
      <c r="O68" s="302">
        <f>SUM(C68:N68)</f>
        <v>477835.17180907726</v>
      </c>
      <c r="Q68" s="271"/>
    </row>
    <row r="69" spans="1:17" ht="12.75">
      <c r="A69" s="18" t="s">
        <v>387</v>
      </c>
      <c r="B69" s="313"/>
      <c r="C69" s="298">
        <f>C55-C64</f>
        <v>43711.94614461437</v>
      </c>
      <c r="D69" s="298">
        <f aca="true" t="shared" si="30" ref="D69:N69">D55-D64</f>
        <v>0</v>
      </c>
      <c r="E69" s="298">
        <f t="shared" si="30"/>
        <v>0</v>
      </c>
      <c r="F69" s="298">
        <f t="shared" si="30"/>
        <v>0</v>
      </c>
      <c r="G69" s="298">
        <f t="shared" si="30"/>
        <v>0</v>
      </c>
      <c r="H69" s="298">
        <f t="shared" si="30"/>
        <v>0</v>
      </c>
      <c r="I69" s="298">
        <f t="shared" si="30"/>
        <v>0</v>
      </c>
      <c r="J69" s="298">
        <f t="shared" si="30"/>
        <v>0</v>
      </c>
      <c r="K69" s="298">
        <f t="shared" si="30"/>
        <v>0</v>
      </c>
      <c r="L69" s="298">
        <f t="shared" si="30"/>
        <v>0</v>
      </c>
      <c r="M69" s="298">
        <f t="shared" si="30"/>
        <v>0</v>
      </c>
      <c r="N69" s="298">
        <f t="shared" si="30"/>
        <v>0</v>
      </c>
      <c r="O69" s="302">
        <f>SUM(C69:N69)</f>
        <v>43711.94614461437</v>
      </c>
      <c r="Q69" s="271"/>
    </row>
    <row r="70" spans="1:17" ht="12.75">
      <c r="A70" s="316" t="s">
        <v>398</v>
      </c>
      <c r="B70" s="311"/>
      <c r="C70" s="318">
        <f>SUM(C68:C69)</f>
        <v>507647.3115836866</v>
      </c>
      <c r="D70" s="318">
        <f aca="true" t="shared" si="31" ref="D70:O70">SUM(D68:D69)</f>
        <v>13897.945272013545</v>
      </c>
      <c r="E70" s="318">
        <f t="shared" si="31"/>
        <v>0.13112785667181015</v>
      </c>
      <c r="F70" s="318">
        <f t="shared" si="31"/>
        <v>0.24751077592372894</v>
      </c>
      <c r="G70" s="318">
        <f t="shared" si="31"/>
        <v>0.2350328415632248</v>
      </c>
      <c r="H70" s="318">
        <f t="shared" si="31"/>
        <v>0.17539970576763153</v>
      </c>
      <c r="I70" s="318">
        <f t="shared" si="31"/>
        <v>0.10323498398065567</v>
      </c>
      <c r="J70" s="318">
        <f t="shared" si="31"/>
        <v>0.18954859673976898</v>
      </c>
      <c r="K70" s="318">
        <f t="shared" si="31"/>
        <v>0.16093895584344864</v>
      </c>
      <c r="L70" s="318">
        <f t="shared" si="31"/>
        <v>0.1846948191523552</v>
      </c>
      <c r="M70" s="318">
        <f t="shared" si="31"/>
        <v>0.2730903774499893</v>
      </c>
      <c r="N70" s="318">
        <f t="shared" si="31"/>
        <v>0.160519078373909</v>
      </c>
      <c r="O70" s="319">
        <f t="shared" si="31"/>
        <v>521547.11795369163</v>
      </c>
      <c r="Q70" s="271"/>
    </row>
    <row r="71" spans="1:17" ht="12.75">
      <c r="A71" s="3"/>
      <c r="Q71" s="271"/>
    </row>
    <row r="72" spans="1:17" ht="12.75">
      <c r="A72" s="5" t="s">
        <v>404</v>
      </c>
      <c r="Q72" s="271"/>
    </row>
    <row r="73" spans="1:17" ht="12.75">
      <c r="A73" s="252" t="s">
        <v>356</v>
      </c>
      <c r="C73" s="59">
        <v>0</v>
      </c>
      <c r="D73" s="298">
        <f>C76</f>
        <v>356241.50090385205</v>
      </c>
      <c r="E73" s="298">
        <f aca="true" t="shared" si="32" ref="E73:N73">D76</f>
        <v>367775.5915030068</v>
      </c>
      <c r="F73" s="298">
        <f t="shared" si="32"/>
        <v>369614.56147949526</v>
      </c>
      <c r="G73" s="298">
        <f t="shared" si="32"/>
        <v>371462.8079775797</v>
      </c>
      <c r="H73" s="298">
        <f t="shared" si="32"/>
        <v>373320.28695176414</v>
      </c>
      <c r="I73" s="298">
        <f t="shared" si="32"/>
        <v>375187.01147326647</v>
      </c>
      <c r="J73" s="298">
        <f t="shared" si="32"/>
        <v>377063.0189757828</v>
      </c>
      <c r="K73" s="298">
        <f t="shared" si="32"/>
        <v>378948.4670863894</v>
      </c>
      <c r="L73" s="298">
        <f t="shared" si="32"/>
        <v>380843.32236073364</v>
      </c>
      <c r="M73" s="298">
        <f t="shared" si="32"/>
        <v>382747.6685821266</v>
      </c>
      <c r="N73" s="298">
        <f t="shared" si="32"/>
        <v>384661.5985662096</v>
      </c>
      <c r="Q73" s="271"/>
    </row>
    <row r="74" spans="1:17" ht="12.75">
      <c r="A74" s="252" t="s">
        <v>357</v>
      </c>
      <c r="B74" s="299">
        <v>0.7</v>
      </c>
      <c r="C74" s="298">
        <f aca="true" t="shared" si="33" ref="C74:N74">$B74*C70</f>
        <v>355353.1181085806</v>
      </c>
      <c r="D74" s="298">
        <f t="shared" si="33"/>
        <v>9728.56169040948</v>
      </c>
      <c r="E74" s="298">
        <f t="shared" si="33"/>
        <v>0.0917894996702671</v>
      </c>
      <c r="F74" s="298">
        <f t="shared" si="33"/>
        <v>0.17325754314661024</v>
      </c>
      <c r="G74" s="298">
        <f t="shared" si="33"/>
        <v>0.16452298909425733</v>
      </c>
      <c r="H74" s="298">
        <f t="shared" si="33"/>
        <v>0.12277979403734206</v>
      </c>
      <c r="I74" s="298">
        <f t="shared" si="33"/>
        <v>0.07226448878645897</v>
      </c>
      <c r="J74" s="298">
        <f t="shared" si="33"/>
        <v>0.13268401771783828</v>
      </c>
      <c r="K74" s="298">
        <f t="shared" si="33"/>
        <v>0.11265726909041404</v>
      </c>
      <c r="L74" s="298">
        <f t="shared" si="33"/>
        <v>0.12928637340664864</v>
      </c>
      <c r="M74" s="298">
        <f t="shared" si="33"/>
        <v>0.19116326421499252</v>
      </c>
      <c r="N74" s="298">
        <f t="shared" si="33"/>
        <v>0.11236335486173629</v>
      </c>
      <c r="Q74" s="271"/>
    </row>
    <row r="75" spans="1:17" ht="12.75">
      <c r="A75" s="252" t="s">
        <v>358</v>
      </c>
      <c r="B75" s="300">
        <v>0.06</v>
      </c>
      <c r="C75" s="298">
        <f aca="true" t="shared" si="34" ref="C75:N75">($B75/12)*(C73+C74/2)</f>
        <v>888.3827952714515</v>
      </c>
      <c r="D75" s="298">
        <f t="shared" si="34"/>
        <v>1805.5289087452838</v>
      </c>
      <c r="E75" s="298">
        <f t="shared" si="34"/>
        <v>1838.8781869887832</v>
      </c>
      <c r="F75" s="298">
        <f t="shared" si="34"/>
        <v>1848.0732405413341</v>
      </c>
      <c r="G75" s="298">
        <f t="shared" si="34"/>
        <v>1857.3144511953712</v>
      </c>
      <c r="H75" s="298">
        <f t="shared" si="34"/>
        <v>1866.6017417083058</v>
      </c>
      <c r="I75" s="298">
        <f t="shared" si="34"/>
        <v>1875.9352380275543</v>
      </c>
      <c r="J75" s="298">
        <f t="shared" si="34"/>
        <v>1885.3154265889584</v>
      </c>
      <c r="K75" s="298">
        <f t="shared" si="34"/>
        <v>1894.74261707512</v>
      </c>
      <c r="L75" s="298">
        <f t="shared" si="34"/>
        <v>1904.2169350196018</v>
      </c>
      <c r="M75" s="298">
        <f t="shared" si="34"/>
        <v>1913.7388208187936</v>
      </c>
      <c r="N75" s="298">
        <f t="shared" si="34"/>
        <v>1923.3082737394352</v>
      </c>
      <c r="Q75" s="271"/>
    </row>
    <row r="76" spans="1:17" ht="12.75">
      <c r="A76" s="320" t="s">
        <v>359</v>
      </c>
      <c r="B76" s="320"/>
      <c r="C76" s="318">
        <f>SUM(C73:C75)</f>
        <v>356241.50090385205</v>
      </c>
      <c r="D76" s="318">
        <f aca="true" t="shared" si="35" ref="D76:N76">SUM(D73:D75)</f>
        <v>367775.5915030068</v>
      </c>
      <c r="E76" s="318">
        <f t="shared" si="35"/>
        <v>369614.56147949526</v>
      </c>
      <c r="F76" s="318">
        <f t="shared" si="35"/>
        <v>371462.8079775797</v>
      </c>
      <c r="G76" s="318">
        <f t="shared" si="35"/>
        <v>373320.28695176414</v>
      </c>
      <c r="H76" s="318">
        <f t="shared" si="35"/>
        <v>375187.01147326647</v>
      </c>
      <c r="I76" s="318">
        <f t="shared" si="35"/>
        <v>377063.0189757828</v>
      </c>
      <c r="J76" s="318">
        <f t="shared" si="35"/>
        <v>378948.4670863894</v>
      </c>
      <c r="K76" s="318">
        <f t="shared" si="35"/>
        <v>380843.32236073364</v>
      </c>
      <c r="L76" s="318">
        <f t="shared" si="35"/>
        <v>382747.6685821266</v>
      </c>
      <c r="M76" s="318">
        <f t="shared" si="35"/>
        <v>384661.5985662096</v>
      </c>
      <c r="N76" s="321">
        <f t="shared" si="35"/>
        <v>386585.0192033039</v>
      </c>
      <c r="Q76" s="271"/>
    </row>
    <row r="77" ht="12.75">
      <c r="Q77" s="271"/>
    </row>
  </sheetData>
  <sheetProtection/>
  <printOptions/>
  <pageMargins left="0.75" right="0.75" top="1" bottom="1" header="0.5" footer="0.5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I1">
      <selection activeCell="R15" sqref="R15"/>
    </sheetView>
  </sheetViews>
  <sheetFormatPr defaultColWidth="9.140625" defaultRowHeight="12.75"/>
  <cols>
    <col min="1" max="1" width="20.7109375" style="3" customWidth="1"/>
    <col min="2" max="2" width="9.7109375" style="3" customWidth="1"/>
    <col min="3" max="15" width="11.28125" style="3" customWidth="1"/>
    <col min="16" max="16" width="5.421875" style="0" customWidth="1"/>
    <col min="17" max="17" width="26.57421875" style="0" customWidth="1"/>
    <col min="19" max="19" width="10.7109375" style="0" customWidth="1"/>
  </cols>
  <sheetData>
    <row r="1" spans="3:17" ht="12.75">
      <c r="C1" s="5" t="s">
        <v>384</v>
      </c>
      <c r="Q1" s="5"/>
    </row>
    <row r="2" spans="3:17" ht="12.75">
      <c r="C2" s="5" t="s">
        <v>415</v>
      </c>
      <c r="Q2" s="5"/>
    </row>
    <row r="3" spans="1:19" ht="12.75">
      <c r="A3" s="5" t="s">
        <v>413</v>
      </c>
      <c r="S3" s="276" t="s">
        <v>366</v>
      </c>
    </row>
    <row r="4" spans="1:19" ht="12.75">
      <c r="A4" s="5" t="s">
        <v>414</v>
      </c>
      <c r="C4" s="278" t="s">
        <v>121</v>
      </c>
      <c r="D4" s="224" t="s">
        <v>122</v>
      </c>
      <c r="E4" s="53" t="s">
        <v>123</v>
      </c>
      <c r="F4" s="53" t="s">
        <v>124</v>
      </c>
      <c r="G4" s="53" t="s">
        <v>125</v>
      </c>
      <c r="H4" s="284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3" t="s">
        <v>132</v>
      </c>
      <c r="O4" s="341" t="s">
        <v>377</v>
      </c>
      <c r="Q4" s="272" t="s">
        <v>374</v>
      </c>
      <c r="S4" s="276" t="s">
        <v>375</v>
      </c>
    </row>
    <row r="5" ht="12.75">
      <c r="O5" s="340"/>
    </row>
    <row r="6" spans="1:21" ht="12.75">
      <c r="A6" s="3" t="s">
        <v>411</v>
      </c>
      <c r="C6" s="298">
        <f>+'Base Forecast'!C444-'Base Forecast'!C479</f>
        <v>55983602.25259711</v>
      </c>
      <c r="D6" s="298">
        <f>+'Base Forecast'!D444-'Base Forecast'!D479</f>
        <v>60644870.660889305</v>
      </c>
      <c r="E6" s="298">
        <f>+'Base Forecast'!E444-'Base Forecast'!E479</f>
        <v>50009966.66845366</v>
      </c>
      <c r="F6" s="298">
        <f>+'Base Forecast'!F444-'Base Forecast'!F479</f>
        <v>44901175.92197762</v>
      </c>
      <c r="G6" s="298">
        <f>+'Base Forecast'!G444-'Base Forecast'!G479</f>
        <v>44813724.62809332</v>
      </c>
      <c r="H6" s="298">
        <f>+'Base Forecast'!H444-'Base Forecast'!H479</f>
        <v>49410395.66613165</v>
      </c>
      <c r="I6" s="298">
        <f>+'Base Forecast'!I444-'Base Forecast'!I479</f>
        <v>51205585.93657221</v>
      </c>
      <c r="J6" s="298">
        <f>+'Base Forecast'!J444-'Base Forecast'!J479</f>
        <v>46945775.22551318</v>
      </c>
      <c r="K6" s="298">
        <f>+'Base Forecast'!K444-'Base Forecast'!K479</f>
        <v>48156178.34325274</v>
      </c>
      <c r="L6" s="298">
        <f>+'Base Forecast'!L444-'Base Forecast'!L479</f>
        <v>47765558.38856417</v>
      </c>
      <c r="M6" s="298">
        <f>+'Base Forecast'!M444-'Base Forecast'!M479</f>
        <v>50074298.370612286</v>
      </c>
      <c r="N6" s="298">
        <f>+'Base Forecast'!N444-'Base Forecast'!N479</f>
        <v>48699555.011686966</v>
      </c>
      <c r="O6" s="343">
        <f>SUM(C6:N6)</f>
        <v>598610687.0743442</v>
      </c>
      <c r="Q6" s="272" t="s">
        <v>370</v>
      </c>
      <c r="U6" s="323"/>
    </row>
    <row r="7" spans="1:19" ht="12.75">
      <c r="A7" s="3" t="s">
        <v>410</v>
      </c>
      <c r="C7" s="298">
        <f>+'Utah Spike'!C444-'Utah Spike'!C479</f>
        <v>56952896.53728998</v>
      </c>
      <c r="D7" s="298">
        <f>+'Utah Spike'!D444-'Utah Spike'!D479</f>
        <v>60658380.741079465</v>
      </c>
      <c r="E7" s="298">
        <f>+'Utah Spike'!E444-'Utah Spike'!E479</f>
        <v>50009966.7975449</v>
      </c>
      <c r="F7" s="298">
        <f>+'Utah Spike'!F444-'Utah Spike'!F479</f>
        <v>44901176.17141635</v>
      </c>
      <c r="G7" s="298">
        <f>+'Utah Spike'!G444-'Utah Spike'!G479</f>
        <v>44813724.8682837</v>
      </c>
      <c r="H7" s="298">
        <f>+'Utah Spike'!H444-'Utah Spike'!H479</f>
        <v>49410395.85014842</v>
      </c>
      <c r="I7" s="298">
        <f>+'Utah Spike'!I444-'Utah Spike'!I479</f>
        <v>51205586.04393171</v>
      </c>
      <c r="J7" s="298">
        <f>+'Utah Spike'!J444-'Utah Spike'!J479</f>
        <v>46945775.420373715</v>
      </c>
      <c r="K7" s="298">
        <f>+'Utah Spike'!K444-'Utah Spike'!K479</f>
        <v>48156178.50728721</v>
      </c>
      <c r="L7" s="298">
        <f>+'Utah Spike'!L444-'Utah Spike'!L479</f>
        <v>47765558.57244914</v>
      </c>
      <c r="M7" s="298">
        <f>+'Utah Spike'!M444-'Utah Spike'!M479</f>
        <v>50074298.64201578</v>
      </c>
      <c r="N7" s="298">
        <f>+'Utah Spike'!N444-'Utah Spike'!N479</f>
        <v>48699555.166470796</v>
      </c>
      <c r="O7" s="343">
        <f>SUM(C7:N7)</f>
        <v>599593493.3182912</v>
      </c>
      <c r="Q7" s="274" t="s">
        <v>367</v>
      </c>
      <c r="S7" s="273">
        <v>802651.392981148</v>
      </c>
    </row>
    <row r="8" spans="1:19" ht="12.75">
      <c r="A8" s="139" t="s">
        <v>409</v>
      </c>
      <c r="C8" s="298">
        <f>+(('Base Forecast'!C444-'Base Forecast'!C479)/'Base Forecast'!C490)*'Utah Spike'!C490</f>
        <v>56947623.246602796</v>
      </c>
      <c r="D8" s="298">
        <f>+(('Base Forecast'!D444-'Base Forecast'!D479)/'Base Forecast'!D490)*'Utah Spike'!D490</f>
        <v>60644870.660889305</v>
      </c>
      <c r="E8" s="298">
        <f>+(('Base Forecast'!E444-'Base Forecast'!E479)/'Base Forecast'!E490)*'Utah Spike'!E490</f>
        <v>50009966.66845366</v>
      </c>
      <c r="F8" s="298">
        <f>+(('Base Forecast'!F444-'Base Forecast'!F479)/'Base Forecast'!F490)*'Utah Spike'!F490</f>
        <v>44901175.92197762</v>
      </c>
      <c r="G8" s="298">
        <f>+(('Base Forecast'!G444-'Base Forecast'!G479)/'Base Forecast'!G490)*'Utah Spike'!G490</f>
        <v>44813724.62809332</v>
      </c>
      <c r="H8" s="298">
        <f>+(('Base Forecast'!H444-'Base Forecast'!H479)/'Base Forecast'!H490)*'Utah Spike'!H490</f>
        <v>49410395.66613165</v>
      </c>
      <c r="I8" s="298">
        <f>+(('Base Forecast'!I444-'Base Forecast'!I479)/'Base Forecast'!I490)*'Utah Spike'!I490</f>
        <v>51205585.93657221</v>
      </c>
      <c r="J8" s="298">
        <f>+(('Base Forecast'!J444-'Base Forecast'!J479)/'Base Forecast'!J490)*'Utah Spike'!J490</f>
        <v>46945775.22551318</v>
      </c>
      <c r="K8" s="298">
        <f>+(('Base Forecast'!K444-'Base Forecast'!K479)/'Base Forecast'!K490)*'Utah Spike'!K490</f>
        <v>48156178.34325274</v>
      </c>
      <c r="L8" s="298">
        <f>+(('Base Forecast'!L444-'Base Forecast'!L479)/'Base Forecast'!L490)*'Utah Spike'!L490</f>
        <v>47765558.38856417</v>
      </c>
      <c r="M8" s="298">
        <f>+(('Base Forecast'!M444-'Base Forecast'!M479)/'Base Forecast'!M490)*'Utah Spike'!M490</f>
        <v>50074298.370612286</v>
      </c>
      <c r="N8" s="298">
        <f>+(('Base Forecast'!N444-'Base Forecast'!N479)/'Base Forecast'!N490)*'Utah Spike'!N490</f>
        <v>48699555.011686966</v>
      </c>
      <c r="O8" s="339">
        <f>SUM(C8:N8)</f>
        <v>599574708.0683498</v>
      </c>
      <c r="Q8" s="322" t="s">
        <v>417</v>
      </c>
      <c r="S8">
        <v>578503.9088028058</v>
      </c>
    </row>
    <row r="9" spans="1:19" ht="12.75">
      <c r="A9" s="331" t="s">
        <v>408</v>
      </c>
      <c r="B9" s="331"/>
      <c r="C9" s="330">
        <f aca="true" t="shared" si="0" ref="C9:O9">+C7-C8</f>
        <v>5273.290687181056</v>
      </c>
      <c r="D9" s="330">
        <f t="shared" si="0"/>
        <v>13510.08019015938</v>
      </c>
      <c r="E9" s="330">
        <f t="shared" si="0"/>
        <v>0.12909123301506042</v>
      </c>
      <c r="F9" s="330">
        <f t="shared" si="0"/>
        <v>0.24943873286247253</v>
      </c>
      <c r="G9" s="330">
        <f t="shared" si="0"/>
        <v>0.24019037932157516</v>
      </c>
      <c r="H9" s="330">
        <f t="shared" si="0"/>
        <v>0.18401676416397095</v>
      </c>
      <c r="I9" s="330">
        <f t="shared" si="0"/>
        <v>0.10735949873924255</v>
      </c>
      <c r="J9" s="330">
        <f t="shared" si="0"/>
        <v>0.1948605328798294</v>
      </c>
      <c r="K9" s="330">
        <f t="shared" si="0"/>
        <v>0.16403447091579437</v>
      </c>
      <c r="L9" s="330">
        <f t="shared" si="0"/>
        <v>0.18388497084379196</v>
      </c>
      <c r="M9" s="330">
        <f t="shared" si="0"/>
        <v>0.2714034914970398</v>
      </c>
      <c r="N9" s="330">
        <f t="shared" si="0"/>
        <v>0.15478383004665375</v>
      </c>
      <c r="O9" s="329">
        <f t="shared" si="0"/>
        <v>18785.24994134903</v>
      </c>
      <c r="Q9" s="274" t="s">
        <v>368</v>
      </c>
      <c r="S9" s="273">
        <v>758815.181255444</v>
      </c>
    </row>
    <row r="10" spans="3:19" ht="12.75"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8"/>
      <c r="Q10" s="274" t="s">
        <v>369</v>
      </c>
      <c r="S10" s="273">
        <v>557979.5591546581</v>
      </c>
    </row>
    <row r="11" spans="1:17" ht="12.75">
      <c r="A11" s="5" t="s">
        <v>413</v>
      </c>
      <c r="C11" s="336"/>
      <c r="D11" s="298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5"/>
      <c r="Q11" s="271"/>
    </row>
    <row r="12" spans="1:17" ht="12.75">
      <c r="A12" s="5" t="s">
        <v>412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7"/>
      <c r="Q12" s="275" t="s">
        <v>371</v>
      </c>
    </row>
    <row r="13" spans="1:19" ht="12.75">
      <c r="A13" s="139"/>
      <c r="B13" s="139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5"/>
      <c r="Q13" s="274" t="s">
        <v>367</v>
      </c>
      <c r="S13" s="273">
        <v>802651.392981148</v>
      </c>
    </row>
    <row r="14" spans="1:19" ht="12.75">
      <c r="A14" s="3" t="s">
        <v>420</v>
      </c>
      <c r="C14" s="336">
        <f>+'Base Forecast'!C488</f>
        <v>58529303.07941034</v>
      </c>
      <c r="D14" s="336">
        <f>+'Base Forecast'!D488</f>
        <v>63653407.86742408</v>
      </c>
      <c r="E14" s="336">
        <f>+'Base Forecast'!E488</f>
        <v>50836999.37099515</v>
      </c>
      <c r="F14" s="336">
        <f>+'Base Forecast'!F488</f>
        <v>44573794.13640542</v>
      </c>
      <c r="G14" s="336">
        <f>+'Base Forecast'!G488</f>
        <v>43854000.05413734</v>
      </c>
      <c r="H14" s="336">
        <f>+'Base Forecast'!H488</f>
        <v>47030107.50388466</v>
      </c>
      <c r="I14" s="336">
        <f>+'Base Forecast'!I488</f>
        <v>49093577.16631858</v>
      </c>
      <c r="J14" s="336">
        <f>+'Base Forecast'!J488</f>
        <v>45514235.918156296</v>
      </c>
      <c r="K14" s="336">
        <f>+'Base Forecast'!K488</f>
        <v>47084226.44570325</v>
      </c>
      <c r="L14" s="336">
        <f>+'Base Forecast'!L488</f>
        <v>47782598.677166775</v>
      </c>
      <c r="M14" s="336">
        <f>+'Base Forecast'!M488</f>
        <v>50207116.89443417</v>
      </c>
      <c r="N14" s="336">
        <f>+'Base Forecast'!N488</f>
        <v>50451319.96030832</v>
      </c>
      <c r="O14" s="335">
        <f>SUM(C14:N14)</f>
        <v>598610687.0743444</v>
      </c>
      <c r="Q14" s="322" t="s">
        <v>417</v>
      </c>
      <c r="S14">
        <v>578503.9088028058</v>
      </c>
    </row>
    <row r="15" spans="1:19" ht="12.75">
      <c r="A15" s="3" t="s">
        <v>410</v>
      </c>
      <c r="C15" s="336">
        <f>+'Utah Spike'!C488</f>
        <v>60044807.59672529</v>
      </c>
      <c r="D15" s="336">
        <f>+'Utah Spike'!D488</f>
        <v>63667305.81269609</v>
      </c>
      <c r="E15" s="336">
        <f>+'Utah Spike'!E488</f>
        <v>50836999.502123006</v>
      </c>
      <c r="F15" s="336">
        <f>+'Utah Spike'!F488</f>
        <v>44573794.3839162</v>
      </c>
      <c r="G15" s="336">
        <f>+'Utah Spike'!G488</f>
        <v>43854000.28917018</v>
      </c>
      <c r="H15" s="336">
        <f>+'Utah Spike'!H488</f>
        <v>47030107.679284364</v>
      </c>
      <c r="I15" s="336">
        <f>+'Utah Spike'!I488</f>
        <v>49093577.269553564</v>
      </c>
      <c r="J15" s="336">
        <f>+'Utah Spike'!J488</f>
        <v>45514236.10770489</v>
      </c>
      <c r="K15" s="336">
        <f>+'Utah Spike'!K488</f>
        <v>47084226.60664221</v>
      </c>
      <c r="L15" s="336">
        <f>+'Utah Spike'!L488</f>
        <v>47782598.861861594</v>
      </c>
      <c r="M15" s="336">
        <f>+'Utah Spike'!M488</f>
        <v>50207117.16752455</v>
      </c>
      <c r="N15" s="336">
        <f>+'Utah Spike'!N488</f>
        <v>50451320.1208274</v>
      </c>
      <c r="O15" s="335">
        <f>SUM(C15:N15)</f>
        <v>600140091.3980293</v>
      </c>
      <c r="Q15" s="274" t="s">
        <v>368</v>
      </c>
      <c r="S15" s="273">
        <v>401116.45820748806</v>
      </c>
    </row>
    <row r="16" spans="1:19" ht="12.75">
      <c r="A16" s="139" t="s">
        <v>409</v>
      </c>
      <c r="C16" s="334">
        <f>+'Base Forecast'!C488/'Base Forecast'!C490*'Utah Spike'!C490</f>
        <v>59537160.28514161</v>
      </c>
      <c r="D16" s="334">
        <f>+'Base Forecast'!D488/'Base Forecast'!D490*'Utah Spike'!D490</f>
        <v>63653407.86742408</v>
      </c>
      <c r="E16" s="334">
        <f>+'Base Forecast'!E488/'Base Forecast'!E490*'Utah Spike'!E490</f>
        <v>50836999.37099515</v>
      </c>
      <c r="F16" s="334">
        <f>+'Base Forecast'!F488/'Base Forecast'!F490*'Utah Spike'!F490</f>
        <v>44573794.13640542</v>
      </c>
      <c r="G16" s="334">
        <f>+'Base Forecast'!G488/'Base Forecast'!G490*'Utah Spike'!G490</f>
        <v>43854000.05413734</v>
      </c>
      <c r="H16" s="334">
        <f>+'Base Forecast'!H488/'Base Forecast'!H490*'Utah Spike'!H490</f>
        <v>47030107.50388466</v>
      </c>
      <c r="I16" s="334">
        <f>+'Base Forecast'!I488/'Base Forecast'!I490*'Utah Spike'!I490</f>
        <v>49093577.16631858</v>
      </c>
      <c r="J16" s="334">
        <f>+'Base Forecast'!J488/'Base Forecast'!J490*'Utah Spike'!J490</f>
        <v>45514235.918156296</v>
      </c>
      <c r="K16" s="334">
        <f>+'Base Forecast'!K488/'Base Forecast'!K490*'Utah Spike'!K490</f>
        <v>47084226.44570325</v>
      </c>
      <c r="L16" s="334">
        <f>+'Base Forecast'!L488/'Base Forecast'!L490*'Utah Spike'!L490</f>
        <v>47782598.677166775</v>
      </c>
      <c r="M16" s="334">
        <f>+'Base Forecast'!M488/'Base Forecast'!M490*'Utah Spike'!M490</f>
        <v>50207116.89443417</v>
      </c>
      <c r="N16" s="334">
        <f>+'Base Forecast'!N488/'Base Forecast'!N490*'Utah Spike'!N490</f>
        <v>50451319.96030832</v>
      </c>
      <c r="O16" s="333">
        <f>SUM(C16:N16)</f>
        <v>599618544.2800757</v>
      </c>
      <c r="Q16" s="274" t="s">
        <v>369</v>
      </c>
      <c r="S16" s="273">
        <v>299709.54376270104</v>
      </c>
    </row>
    <row r="17" spans="1:19" ht="12.75">
      <c r="A17" s="332" t="s">
        <v>408</v>
      </c>
      <c r="B17" s="331"/>
      <c r="C17" s="358">
        <f aca="true" t="shared" si="1" ref="C17:O17">+C15-C16</f>
        <v>507647.3115836829</v>
      </c>
      <c r="D17" s="358">
        <f t="shared" si="1"/>
        <v>13897.945272013545</v>
      </c>
      <c r="E17" s="358">
        <f t="shared" si="1"/>
        <v>0.13112785667181015</v>
      </c>
      <c r="F17" s="358">
        <f t="shared" si="1"/>
        <v>0.24751077592372894</v>
      </c>
      <c r="G17" s="358">
        <f t="shared" si="1"/>
        <v>0.2350328415632248</v>
      </c>
      <c r="H17" s="358">
        <f t="shared" si="1"/>
        <v>0.17539970576763153</v>
      </c>
      <c r="I17" s="358">
        <f t="shared" si="1"/>
        <v>0.10323498398065567</v>
      </c>
      <c r="J17" s="358">
        <f t="shared" si="1"/>
        <v>0.18954859673976898</v>
      </c>
      <c r="K17" s="358">
        <f t="shared" si="1"/>
        <v>0.16093895584344864</v>
      </c>
      <c r="L17" s="358">
        <f t="shared" si="1"/>
        <v>0.1846948191523552</v>
      </c>
      <c r="M17" s="358">
        <f t="shared" si="1"/>
        <v>0.2730903774499893</v>
      </c>
      <c r="N17" s="358">
        <f t="shared" si="1"/>
        <v>0.160519078373909</v>
      </c>
      <c r="O17" s="359">
        <f t="shared" si="1"/>
        <v>521547.1179536581</v>
      </c>
      <c r="Q17" s="274"/>
      <c r="S17" s="273"/>
    </row>
    <row r="18" spans="1:17" ht="12.75">
      <c r="A18" s="328"/>
      <c r="B18" s="328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Q18" s="275" t="s">
        <v>372</v>
      </c>
    </row>
    <row r="19" spans="1:19" ht="12.7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Q19" s="274" t="s">
        <v>367</v>
      </c>
      <c r="S19" s="273">
        <v>18785.24994125663</v>
      </c>
    </row>
    <row r="20" spans="1:19" ht="12.75">
      <c r="A20" s="5" t="s">
        <v>407</v>
      </c>
      <c r="Q20" s="322" t="s">
        <v>417</v>
      </c>
      <c r="S20">
        <v>13876.117737293866</v>
      </c>
    </row>
    <row r="21" spans="1:19" ht="12.75">
      <c r="A21" s="3" t="s">
        <v>356</v>
      </c>
      <c r="C21" s="323">
        <v>0</v>
      </c>
      <c r="D21" s="323">
        <f aca="true" t="shared" si="2" ref="D21:N21">C24</f>
        <v>3700.5317397293056</v>
      </c>
      <c r="E21" s="323">
        <f t="shared" si="2"/>
        <v>13199.733171872296</v>
      </c>
      <c r="F21" s="323">
        <f t="shared" si="2"/>
        <v>13265.822427504425</v>
      </c>
      <c r="G21" s="323">
        <f t="shared" si="2"/>
        <v>13332.326583272734</v>
      </c>
      <c r="H21" s="323">
        <f t="shared" si="2"/>
        <v>13399.156769787785</v>
      </c>
      <c r="I21" s="323">
        <f t="shared" si="2"/>
        <v>13466.281687400975</v>
      </c>
      <c r="J21" s="323">
        <f t="shared" si="2"/>
        <v>13533.68843536622</v>
      </c>
      <c r="K21" s="323">
        <f t="shared" si="2"/>
        <v>13601.493620922001</v>
      </c>
      <c r="L21" s="323">
        <f t="shared" si="2"/>
        <v>13669.616200216577</v>
      </c>
      <c r="M21" s="323">
        <f t="shared" si="2"/>
        <v>13738.09332249595</v>
      </c>
      <c r="N21" s="323">
        <f t="shared" si="2"/>
        <v>13806.974246508587</v>
      </c>
      <c r="O21" s="323"/>
      <c r="Q21" s="274" t="s">
        <v>368</v>
      </c>
      <c r="S21" s="273">
        <v>-25050.96178430439</v>
      </c>
    </row>
    <row r="22" spans="1:19" ht="12.75">
      <c r="A22" s="40" t="s">
        <v>357</v>
      </c>
      <c r="B22" s="344">
        <v>0.7</v>
      </c>
      <c r="C22" s="357">
        <f aca="true" t="shared" si="3" ref="C22:N22">$B22*C9</f>
        <v>3691.3034810267386</v>
      </c>
      <c r="D22" s="357">
        <f t="shared" si="3"/>
        <v>9457.056133111566</v>
      </c>
      <c r="E22" s="357">
        <f t="shared" si="3"/>
        <v>0.09036386311054229</v>
      </c>
      <c r="F22" s="357">
        <f t="shared" si="3"/>
        <v>0.17460711300373077</v>
      </c>
      <c r="G22" s="357">
        <f t="shared" si="3"/>
        <v>0.1681332655251026</v>
      </c>
      <c r="H22" s="357">
        <f t="shared" si="3"/>
        <v>0.12881173491477965</v>
      </c>
      <c r="I22" s="357">
        <f t="shared" si="3"/>
        <v>0.07515164911746978</v>
      </c>
      <c r="J22" s="357">
        <f t="shared" si="3"/>
        <v>0.13640237301588057</v>
      </c>
      <c r="K22" s="357">
        <f t="shared" si="3"/>
        <v>0.11482412964105605</v>
      </c>
      <c r="L22" s="357">
        <f t="shared" si="3"/>
        <v>0.12871947959065436</v>
      </c>
      <c r="M22" s="357">
        <f t="shared" si="3"/>
        <v>0.18998244404792786</v>
      </c>
      <c r="N22" s="357">
        <f t="shared" si="3"/>
        <v>0.10834868103265761</v>
      </c>
      <c r="O22" s="357">
        <f>SUM(C22:N22)</f>
        <v>13149.674958871305</v>
      </c>
      <c r="Q22" s="274" t="s">
        <v>369</v>
      </c>
      <c r="S22" s="273">
        <v>-8076.4245509752045</v>
      </c>
    </row>
    <row r="23" spans="1:19" ht="12.75">
      <c r="A23" s="3" t="s">
        <v>358</v>
      </c>
      <c r="B23" s="342">
        <v>0.06</v>
      </c>
      <c r="C23" s="323">
        <f aca="true" t="shared" si="4" ref="C23:N23">(C21+0.5*C22)*$B$23/12</f>
        <v>9.228258702566846</v>
      </c>
      <c r="D23" s="323">
        <f t="shared" si="4"/>
        <v>42.14529903142544</v>
      </c>
      <c r="E23" s="323">
        <f t="shared" si="4"/>
        <v>65.99889176901925</v>
      </c>
      <c r="F23" s="323">
        <f t="shared" si="4"/>
        <v>66.32954865530463</v>
      </c>
      <c r="G23" s="323">
        <f t="shared" si="4"/>
        <v>66.66205324952747</v>
      </c>
      <c r="H23" s="323">
        <f t="shared" si="4"/>
        <v>66.99610587827621</v>
      </c>
      <c r="I23" s="323">
        <f t="shared" si="4"/>
        <v>67.33159631612766</v>
      </c>
      <c r="J23" s="323">
        <f t="shared" si="4"/>
        <v>67.66878318276365</v>
      </c>
      <c r="K23" s="323">
        <f t="shared" si="4"/>
        <v>68.0077551649341</v>
      </c>
      <c r="L23" s="323">
        <f t="shared" si="4"/>
        <v>68.34840279978185</v>
      </c>
      <c r="M23" s="323">
        <f t="shared" si="4"/>
        <v>68.69094156858986</v>
      </c>
      <c r="N23" s="323">
        <f t="shared" si="4"/>
        <v>69.03514210424551</v>
      </c>
      <c r="O23" s="323"/>
      <c r="Q23" s="274"/>
      <c r="S23" s="273"/>
    </row>
    <row r="24" spans="1:17" ht="12.75">
      <c r="A24" s="326" t="s">
        <v>359</v>
      </c>
      <c r="B24" s="325"/>
      <c r="C24" s="361">
        <f aca="true" t="shared" si="5" ref="C24:N24">SUM(C21:C23)</f>
        <v>3700.5317397293056</v>
      </c>
      <c r="D24" s="361">
        <f t="shared" si="5"/>
        <v>13199.733171872296</v>
      </c>
      <c r="E24" s="361">
        <f t="shared" si="5"/>
        <v>13265.822427504425</v>
      </c>
      <c r="F24" s="361">
        <f t="shared" si="5"/>
        <v>13332.326583272734</v>
      </c>
      <c r="G24" s="361">
        <f t="shared" si="5"/>
        <v>13399.156769787785</v>
      </c>
      <c r="H24" s="361">
        <f t="shared" si="5"/>
        <v>13466.281687400975</v>
      </c>
      <c r="I24" s="361">
        <f t="shared" si="5"/>
        <v>13533.68843536622</v>
      </c>
      <c r="J24" s="361">
        <f t="shared" si="5"/>
        <v>13601.493620922001</v>
      </c>
      <c r="K24" s="361">
        <f t="shared" si="5"/>
        <v>13669.616200216577</v>
      </c>
      <c r="L24" s="361">
        <f t="shared" si="5"/>
        <v>13738.09332249595</v>
      </c>
      <c r="M24" s="361">
        <f t="shared" si="5"/>
        <v>13806.974246508587</v>
      </c>
      <c r="N24" s="362">
        <f t="shared" si="5"/>
        <v>13876.117737293866</v>
      </c>
      <c r="O24" s="323"/>
      <c r="Q24" s="275" t="s">
        <v>373</v>
      </c>
    </row>
    <row r="25" spans="3:19" ht="12.75"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Q25" s="274" t="s">
        <v>367</v>
      </c>
      <c r="S25" s="273">
        <v>18785.24994125663</v>
      </c>
    </row>
    <row r="26" spans="3:19" ht="12.75"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Q26" s="322" t="s">
        <v>417</v>
      </c>
      <c r="S26">
        <v>13876.117737293866</v>
      </c>
    </row>
    <row r="27" spans="1:19" ht="12.75">
      <c r="A27" s="5" t="s">
        <v>406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Q27" s="274" t="s">
        <v>368</v>
      </c>
      <c r="S27" s="273">
        <v>521547.1179536581</v>
      </c>
    </row>
    <row r="28" spans="1:19" ht="12.75">
      <c r="A28" s="3" t="s">
        <v>356</v>
      </c>
      <c r="C28" s="323">
        <v>0</v>
      </c>
      <c r="D28" s="323">
        <f aca="true" t="shared" si="6" ref="D28:N28">C31</f>
        <v>356241.5009038495</v>
      </c>
      <c r="E28" s="323">
        <f t="shared" si="6"/>
        <v>367775.59150300425</v>
      </c>
      <c r="F28" s="323">
        <f t="shared" si="6"/>
        <v>369614.5614794927</v>
      </c>
      <c r="G28" s="323">
        <f t="shared" si="6"/>
        <v>371462.80797757715</v>
      </c>
      <c r="H28" s="323">
        <f t="shared" si="6"/>
        <v>373320.2869517616</v>
      </c>
      <c r="I28" s="323">
        <f t="shared" si="6"/>
        <v>375187.0114732639</v>
      </c>
      <c r="J28" s="323">
        <f t="shared" si="6"/>
        <v>377063.0189757802</v>
      </c>
      <c r="K28" s="323">
        <f t="shared" si="6"/>
        <v>378948.46708638687</v>
      </c>
      <c r="L28" s="323">
        <f t="shared" si="6"/>
        <v>380843.3223607311</v>
      </c>
      <c r="M28" s="323">
        <f t="shared" si="6"/>
        <v>382747.66858212405</v>
      </c>
      <c r="N28" s="323">
        <f t="shared" si="6"/>
        <v>384661.59856620705</v>
      </c>
      <c r="O28" s="323"/>
      <c r="Q28" s="274" t="s">
        <v>369</v>
      </c>
      <c r="S28" s="273">
        <v>386585.01920330134</v>
      </c>
    </row>
    <row r="29" spans="1:15" ht="12.75">
      <c r="A29" s="40" t="s">
        <v>357</v>
      </c>
      <c r="B29" s="344">
        <v>0.7</v>
      </c>
      <c r="C29" s="357">
        <f aca="true" t="shared" si="7" ref="C29:N29">$B29*C17</f>
        <v>355353.118108578</v>
      </c>
      <c r="D29" s="357">
        <f t="shared" si="7"/>
        <v>9728.56169040948</v>
      </c>
      <c r="E29" s="357">
        <f t="shared" si="7"/>
        <v>0.0917894996702671</v>
      </c>
      <c r="F29" s="357">
        <f t="shared" si="7"/>
        <v>0.17325754314661024</v>
      </c>
      <c r="G29" s="357">
        <f t="shared" si="7"/>
        <v>0.16452298909425733</v>
      </c>
      <c r="H29" s="357">
        <f t="shared" si="7"/>
        <v>0.12277979403734206</v>
      </c>
      <c r="I29" s="357">
        <f t="shared" si="7"/>
        <v>0.07226448878645897</v>
      </c>
      <c r="J29" s="357">
        <f t="shared" si="7"/>
        <v>0.13268401771783828</v>
      </c>
      <c r="K29" s="357">
        <f t="shared" si="7"/>
        <v>0.11265726909041404</v>
      </c>
      <c r="L29" s="357">
        <f t="shared" si="7"/>
        <v>0.12928637340664864</v>
      </c>
      <c r="M29" s="357">
        <f t="shared" si="7"/>
        <v>0.19116326421499252</v>
      </c>
      <c r="N29" s="357">
        <f t="shared" si="7"/>
        <v>0.11236335486173629</v>
      </c>
      <c r="O29" s="357">
        <f>SUM(C29:N29)</f>
        <v>365082.9825675815</v>
      </c>
    </row>
    <row r="30" spans="1:17" ht="12.75">
      <c r="A30" s="3" t="s">
        <v>358</v>
      </c>
      <c r="B30" s="342">
        <v>0.06</v>
      </c>
      <c r="C30" s="323">
        <f aca="true" t="shared" si="8" ref="C30:N30">(C28+0.5*C29)*$B$30/12</f>
        <v>888.382795271445</v>
      </c>
      <c r="D30" s="323">
        <f t="shared" si="8"/>
        <v>1805.528908745271</v>
      </c>
      <c r="E30" s="323">
        <f t="shared" si="8"/>
        <v>1838.87818698877</v>
      </c>
      <c r="F30" s="323">
        <f t="shared" si="8"/>
        <v>1848.0732405413212</v>
      </c>
      <c r="G30" s="323">
        <f t="shared" si="8"/>
        <v>1857.3144511953585</v>
      </c>
      <c r="H30" s="323">
        <f t="shared" si="8"/>
        <v>1866.601741708293</v>
      </c>
      <c r="I30" s="323">
        <f t="shared" si="8"/>
        <v>1875.9352380275413</v>
      </c>
      <c r="J30" s="323">
        <f t="shared" si="8"/>
        <v>1885.3154265889455</v>
      </c>
      <c r="K30" s="323">
        <f t="shared" si="8"/>
        <v>1894.742617075107</v>
      </c>
      <c r="L30" s="323">
        <f t="shared" si="8"/>
        <v>1904.2169350195888</v>
      </c>
      <c r="M30" s="323">
        <f t="shared" si="8"/>
        <v>1913.7388208187806</v>
      </c>
      <c r="N30" s="323">
        <f t="shared" si="8"/>
        <v>1923.3082737394225</v>
      </c>
      <c r="O30" s="323"/>
      <c r="Q30" s="5" t="s">
        <v>383</v>
      </c>
    </row>
    <row r="31" spans="1:17" ht="12.75">
      <c r="A31" s="326" t="s">
        <v>359</v>
      </c>
      <c r="B31" s="325"/>
      <c r="C31" s="361">
        <f aca="true" t="shared" si="9" ref="C31:N31">SUM(C28:C30)</f>
        <v>356241.5009038495</v>
      </c>
      <c r="D31" s="361">
        <f t="shared" si="9"/>
        <v>367775.59150300425</v>
      </c>
      <c r="E31" s="361">
        <f t="shared" si="9"/>
        <v>369614.5614794927</v>
      </c>
      <c r="F31" s="361">
        <f t="shared" si="9"/>
        <v>371462.80797757715</v>
      </c>
      <c r="G31" s="361">
        <f t="shared" si="9"/>
        <v>373320.2869517616</v>
      </c>
      <c r="H31" s="361">
        <f t="shared" si="9"/>
        <v>375187.0114732639</v>
      </c>
      <c r="I31" s="361">
        <f t="shared" si="9"/>
        <v>377063.0189757802</v>
      </c>
      <c r="J31" s="361">
        <f t="shared" si="9"/>
        <v>378948.46708638687</v>
      </c>
      <c r="K31" s="361">
        <f t="shared" si="9"/>
        <v>380843.3223607311</v>
      </c>
      <c r="L31" s="361">
        <f t="shared" si="9"/>
        <v>382747.66858212405</v>
      </c>
      <c r="M31" s="361">
        <f t="shared" si="9"/>
        <v>384661.59856620705</v>
      </c>
      <c r="N31" s="362">
        <f t="shared" si="9"/>
        <v>386585.01920330134</v>
      </c>
      <c r="O31" s="323"/>
      <c r="Q31" s="5" t="s">
        <v>405</v>
      </c>
    </row>
    <row r="32" ht="12.75">
      <c r="Q32" s="322"/>
    </row>
    <row r="33" spans="3:17" ht="12.75">
      <c r="C33" s="324"/>
      <c r="Q33" s="322"/>
    </row>
    <row r="34" ht="12.75">
      <c r="Q34" s="322"/>
    </row>
    <row r="35" spans="1:17" ht="12.75">
      <c r="A35" s="5"/>
      <c r="Q35" s="322"/>
    </row>
    <row r="36" spans="3:17" ht="12.75">
      <c r="C36" s="323"/>
      <c r="Q36" s="322"/>
    </row>
    <row r="37" ht="12.75">
      <c r="Q37" s="322"/>
    </row>
    <row r="38" spans="3:17" ht="12.75"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Q38" s="322"/>
    </row>
    <row r="40" spans="3:17" ht="12.75"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Q40" s="322"/>
    </row>
    <row r="43" ht="12.75">
      <c r="Q43" s="322"/>
    </row>
  </sheetData>
  <sheetProtection/>
  <printOptions horizontalCentered="1" verticalCentered="1"/>
  <pageMargins left="0.7" right="0.7" top="0.75" bottom="0.75" header="0.3" footer="0.3"/>
  <pageSetup horizontalDpi="1200" verticalDpi="1200" orientation="portrait" r:id="rId1"/>
  <headerFooter>
    <oddHeader>&amp;CSystem NPC increases by $2.3 million due to Utah Load Spike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Shu</dc:creator>
  <cp:keywords/>
  <dc:description/>
  <cp:lastModifiedBy> </cp:lastModifiedBy>
  <cp:lastPrinted>2011-11-23T20:56:27Z</cp:lastPrinted>
  <dcterms:created xsi:type="dcterms:W3CDTF">2004-11-24T17:27:03Z</dcterms:created>
  <dcterms:modified xsi:type="dcterms:W3CDTF">2011-11-23T23:34:36Z</dcterms:modified>
  <cp:category/>
  <cp:version/>
  <cp:contentType/>
  <cp:contentStatus/>
</cp:coreProperties>
</file>