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5480" windowHeight="11640"/>
  </bookViews>
  <sheets>
    <sheet name="Sheet1" sheetId="1" r:id="rId1"/>
    <sheet name="Sheet1 (2)" sheetId="6" r:id="rId2"/>
    <sheet name="Sheet2" sheetId="2" r:id="rId3"/>
    <sheet name="Sheet3" sheetId="3" r:id="rId4"/>
    <sheet name="Sheet4" sheetId="4" r:id="rId5"/>
    <sheet name="Sheet5" sheetId="5" r:id="rId6"/>
  </sheets>
  <definedNames>
    <definedName name="_xlnm.Print_Area" localSheetId="0">Sheet1!$A$1:$Q$58</definedName>
    <definedName name="_xlnm.Print_Area" localSheetId="1">'Sheet1 (2)'!$A$1:$Q$57</definedName>
  </definedNames>
  <calcPr calcId="125725"/>
</workbook>
</file>

<file path=xl/calcChain.xml><?xml version="1.0" encoding="utf-8"?>
<calcChain xmlns="http://schemas.openxmlformats.org/spreadsheetml/2006/main">
  <c r="Q46" i="6"/>
  <c r="N46"/>
  <c r="Q44"/>
  <c r="N44"/>
  <c r="L28"/>
  <c r="L29"/>
  <c r="L30"/>
  <c r="L31"/>
  <c r="L32"/>
  <c r="L13"/>
  <c r="L14"/>
  <c r="L15"/>
  <c r="L16"/>
  <c r="L17"/>
  <c r="Q44" i="1" l="1"/>
  <c r="N44"/>
  <c r="N17"/>
  <c r="J47" i="6"/>
  <c r="G47"/>
  <c r="F47"/>
  <c r="D47"/>
  <c r="E47" s="1"/>
  <c r="C47"/>
  <c r="J46"/>
  <c r="G46"/>
  <c r="F46"/>
  <c r="D46"/>
  <c r="C46"/>
  <c r="J45"/>
  <c r="G45"/>
  <c r="F45"/>
  <c r="D45"/>
  <c r="E45" s="1"/>
  <c r="C45"/>
  <c r="J44"/>
  <c r="G44"/>
  <c r="F44"/>
  <c r="D44"/>
  <c r="C44"/>
  <c r="J43"/>
  <c r="G43"/>
  <c r="F43"/>
  <c r="D43"/>
  <c r="E43" s="1"/>
  <c r="C43"/>
  <c r="J42"/>
  <c r="G42"/>
  <c r="F42"/>
  <c r="D42"/>
  <c r="C42"/>
  <c r="Q41"/>
  <c r="N41"/>
  <c r="J41"/>
  <c r="G41"/>
  <c r="F41"/>
  <c r="D41"/>
  <c r="E41" s="1"/>
  <c r="C41"/>
  <c r="J40"/>
  <c r="G40"/>
  <c r="F40"/>
  <c r="D40"/>
  <c r="C40"/>
  <c r="Q39"/>
  <c r="N39"/>
  <c r="J39"/>
  <c r="G39"/>
  <c r="F39"/>
  <c r="D39"/>
  <c r="C39"/>
  <c r="J38"/>
  <c r="G38"/>
  <c r="H49" s="1"/>
  <c r="F38"/>
  <c r="D38"/>
  <c r="E49" s="1"/>
  <c r="C38"/>
  <c r="H34"/>
  <c r="E34"/>
  <c r="K32"/>
  <c r="L47" s="1"/>
  <c r="I32"/>
  <c r="H32"/>
  <c r="E32"/>
  <c r="K31"/>
  <c r="I31"/>
  <c r="H31"/>
  <c r="E31"/>
  <c r="K30"/>
  <c r="L45" s="1"/>
  <c r="I30"/>
  <c r="H30"/>
  <c r="E30"/>
  <c r="K29"/>
  <c r="I29"/>
  <c r="H29"/>
  <c r="E29"/>
  <c r="K28"/>
  <c r="I28"/>
  <c r="H28"/>
  <c r="E28"/>
  <c r="K27"/>
  <c r="L27" s="1"/>
  <c r="M27" s="1"/>
  <c r="O27" s="1"/>
  <c r="I27"/>
  <c r="H27"/>
  <c r="E27"/>
  <c r="L26"/>
  <c r="K26"/>
  <c r="I26"/>
  <c r="M26" s="1"/>
  <c r="O26" s="1"/>
  <c r="H26"/>
  <c r="E26"/>
  <c r="K25"/>
  <c r="L25" s="1"/>
  <c r="I25"/>
  <c r="H25"/>
  <c r="E25"/>
  <c r="K24"/>
  <c r="L24" s="1"/>
  <c r="I24"/>
  <c r="H24"/>
  <c r="E24"/>
  <c r="K23"/>
  <c r="L23" s="1"/>
  <c r="M23" s="1"/>
  <c r="O23" s="1"/>
  <c r="I23"/>
  <c r="H19"/>
  <c r="E19"/>
  <c r="K17"/>
  <c r="I17"/>
  <c r="M17" s="1"/>
  <c r="H17"/>
  <c r="E17"/>
  <c r="B17"/>
  <c r="B47" s="1"/>
  <c r="K16"/>
  <c r="I16"/>
  <c r="H16"/>
  <c r="E16"/>
  <c r="B16"/>
  <c r="B46" s="1"/>
  <c r="K15"/>
  <c r="I15"/>
  <c r="M15" s="1"/>
  <c r="H15"/>
  <c r="E15"/>
  <c r="B15"/>
  <c r="B45" s="1"/>
  <c r="K14"/>
  <c r="K44" s="1"/>
  <c r="H14"/>
  <c r="E14"/>
  <c r="B14"/>
  <c r="B44" s="1"/>
  <c r="I44" s="1"/>
  <c r="K13"/>
  <c r="K43" s="1"/>
  <c r="H13"/>
  <c r="E13"/>
  <c r="B13"/>
  <c r="B43" s="1"/>
  <c r="I43" s="1"/>
  <c r="K12"/>
  <c r="K42" s="1"/>
  <c r="H12"/>
  <c r="E12"/>
  <c r="B12"/>
  <c r="B42" s="1"/>
  <c r="I42" s="1"/>
  <c r="K11"/>
  <c r="K41" s="1"/>
  <c r="H11"/>
  <c r="E11"/>
  <c r="B11"/>
  <c r="B41" s="1"/>
  <c r="I41" s="1"/>
  <c r="K10"/>
  <c r="K40" s="1"/>
  <c r="H10"/>
  <c r="E10"/>
  <c r="B10"/>
  <c r="B40" s="1"/>
  <c r="I40" s="1"/>
  <c r="K9"/>
  <c r="K39" s="1"/>
  <c r="H9"/>
  <c r="E9"/>
  <c r="B9"/>
  <c r="B39" s="1"/>
  <c r="I39" s="1"/>
  <c r="L8"/>
  <c r="B8"/>
  <c r="B38" s="1"/>
  <c r="I38" s="1"/>
  <c r="M29" l="1"/>
  <c r="O29" s="1"/>
  <c r="H39"/>
  <c r="M31"/>
  <c r="O31" s="1"/>
  <c r="L38"/>
  <c r="I9"/>
  <c r="M9" s="1"/>
  <c r="L9"/>
  <c r="L39" s="1"/>
  <c r="I10"/>
  <c r="M10" s="1"/>
  <c r="L10"/>
  <c r="I11"/>
  <c r="M11" s="1"/>
  <c r="L11"/>
  <c r="L41" s="1"/>
  <c r="I12"/>
  <c r="M12" s="1"/>
  <c r="L12"/>
  <c r="L42" s="1"/>
  <c r="I13"/>
  <c r="I14"/>
  <c r="I45"/>
  <c r="K45"/>
  <c r="I46"/>
  <c r="K46"/>
  <c r="I47"/>
  <c r="K47"/>
  <c r="M24"/>
  <c r="O24" s="1"/>
  <c r="M25"/>
  <c r="O25" s="1"/>
  <c r="M28"/>
  <c r="O28" s="1"/>
  <c r="M30"/>
  <c r="O30" s="1"/>
  <c r="M32"/>
  <c r="O32" s="1"/>
  <c r="E39"/>
  <c r="H40"/>
  <c r="H42"/>
  <c r="H44"/>
  <c r="H46"/>
  <c r="L43"/>
  <c r="L46"/>
  <c r="M39"/>
  <c r="O9"/>
  <c r="O39" s="1"/>
  <c r="O10"/>
  <c r="O40" s="1"/>
  <c r="M40"/>
  <c r="M41"/>
  <c r="O11"/>
  <c r="O41" s="1"/>
  <c r="M42"/>
  <c r="O12"/>
  <c r="O42" s="1"/>
  <c r="M45"/>
  <c r="O15"/>
  <c r="O45" s="1"/>
  <c r="M47"/>
  <c r="O17"/>
  <c r="O47" s="1"/>
  <c r="L40"/>
  <c r="L44"/>
  <c r="K38"/>
  <c r="E40"/>
  <c r="H41"/>
  <c r="E42"/>
  <c r="H43"/>
  <c r="E44"/>
  <c r="H45"/>
  <c r="E46"/>
  <c r="H47"/>
  <c r="I8"/>
  <c r="M8" s="1"/>
  <c r="N42" i="1"/>
  <c r="Q42"/>
  <c r="N46"/>
  <c r="Q46"/>
  <c r="N47"/>
  <c r="Q47"/>
  <c r="N48"/>
  <c r="Q48"/>
  <c r="Q40"/>
  <c r="N40"/>
  <c r="L9"/>
  <c r="K33"/>
  <c r="L33" s="1"/>
  <c r="K32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L24" s="1"/>
  <c r="L3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K40" s="1"/>
  <c r="K41"/>
  <c r="K42"/>
  <c r="K43"/>
  <c r="K44"/>
  <c r="K45"/>
  <c r="K46"/>
  <c r="K47"/>
  <c r="K48"/>
  <c r="K39"/>
  <c r="J40"/>
  <c r="J41"/>
  <c r="J42"/>
  <c r="J43"/>
  <c r="J44"/>
  <c r="J45"/>
  <c r="J46"/>
  <c r="J47"/>
  <c r="J48"/>
  <c r="J39"/>
  <c r="I33"/>
  <c r="M33" s="1"/>
  <c r="O33" s="1"/>
  <c r="I32"/>
  <c r="M32" s="1"/>
  <c r="O32" s="1"/>
  <c r="I31"/>
  <c r="M31" s="1"/>
  <c r="O31" s="1"/>
  <c r="I30"/>
  <c r="M30" s="1"/>
  <c r="O30" s="1"/>
  <c r="I29"/>
  <c r="M29" s="1"/>
  <c r="O29" s="1"/>
  <c r="I28"/>
  <c r="M28" s="1"/>
  <c r="O28" s="1"/>
  <c r="I27"/>
  <c r="M27" s="1"/>
  <c r="O27" s="1"/>
  <c r="I26"/>
  <c r="M26" s="1"/>
  <c r="O26" s="1"/>
  <c r="I25"/>
  <c r="M25" s="1"/>
  <c r="O25" s="1"/>
  <c r="I24"/>
  <c r="M24" s="1"/>
  <c r="H35"/>
  <c r="H33"/>
  <c r="H32"/>
  <c r="H31"/>
  <c r="H30"/>
  <c r="H29"/>
  <c r="H28"/>
  <c r="H27"/>
  <c r="H26"/>
  <c r="H25"/>
  <c r="H20"/>
  <c r="H18"/>
  <c r="H17"/>
  <c r="H16"/>
  <c r="H15"/>
  <c r="H14"/>
  <c r="H13"/>
  <c r="H12"/>
  <c r="H11"/>
  <c r="H10"/>
  <c r="E35"/>
  <c r="E20"/>
  <c r="E26"/>
  <c r="E27"/>
  <c r="E28"/>
  <c r="E29"/>
  <c r="E30"/>
  <c r="E31"/>
  <c r="E32"/>
  <c r="E33"/>
  <c r="E25"/>
  <c r="E11"/>
  <c r="E12"/>
  <c r="E13"/>
  <c r="E14"/>
  <c r="E15"/>
  <c r="E16"/>
  <c r="E17"/>
  <c r="E18"/>
  <c r="E10"/>
  <c r="G48"/>
  <c r="F48"/>
  <c r="D48"/>
  <c r="G47"/>
  <c r="F47"/>
  <c r="D47"/>
  <c r="G46"/>
  <c r="H47" s="1"/>
  <c r="F46"/>
  <c r="D46"/>
  <c r="E47" s="1"/>
  <c r="G45"/>
  <c r="F45"/>
  <c r="D45"/>
  <c r="G44"/>
  <c r="F44"/>
  <c r="D44"/>
  <c r="E45" s="1"/>
  <c r="G43"/>
  <c r="F43"/>
  <c r="D43"/>
  <c r="G42"/>
  <c r="H43" s="1"/>
  <c r="F42"/>
  <c r="D42"/>
  <c r="E43" s="1"/>
  <c r="G41"/>
  <c r="F41"/>
  <c r="D41"/>
  <c r="G40"/>
  <c r="F40"/>
  <c r="D40"/>
  <c r="G39"/>
  <c r="F39"/>
  <c r="D39"/>
  <c r="B18"/>
  <c r="B48" s="1"/>
  <c r="B17"/>
  <c r="B47" s="1"/>
  <c r="B16"/>
  <c r="B46" s="1"/>
  <c r="B15"/>
  <c r="B45" s="1"/>
  <c r="B14"/>
  <c r="B44" s="1"/>
  <c r="B13"/>
  <c r="B43" s="1"/>
  <c r="B12"/>
  <c r="B42" s="1"/>
  <c r="B11"/>
  <c r="B41" s="1"/>
  <c r="B10"/>
  <c r="B40" s="1"/>
  <c r="B9"/>
  <c r="B39" s="1"/>
  <c r="C40"/>
  <c r="C41"/>
  <c r="C42"/>
  <c r="C43"/>
  <c r="C44"/>
  <c r="C45"/>
  <c r="C46"/>
  <c r="C47"/>
  <c r="C48"/>
  <c r="C39"/>
  <c r="M13" i="6" l="1"/>
  <c r="M16"/>
  <c r="M14"/>
  <c r="O8"/>
  <c r="O38" s="1"/>
  <c r="M38"/>
  <c r="H46" i="1"/>
  <c r="I9"/>
  <c r="M9" s="1"/>
  <c r="O9" s="1"/>
  <c r="I17"/>
  <c r="M17" s="1"/>
  <c r="I15"/>
  <c r="M15" s="1"/>
  <c r="I13"/>
  <c r="M13" s="1"/>
  <c r="I11"/>
  <c r="M11" s="1"/>
  <c r="O11" s="1"/>
  <c r="I18"/>
  <c r="M18" s="1"/>
  <c r="O18" s="1"/>
  <c r="O48" s="1"/>
  <c r="I16"/>
  <c r="M16" s="1"/>
  <c r="O16" s="1"/>
  <c r="I14"/>
  <c r="M14" s="1"/>
  <c r="O14" s="1"/>
  <c r="I12"/>
  <c r="M12" s="1"/>
  <c r="O12" s="1"/>
  <c r="I10"/>
  <c r="L10"/>
  <c r="M47"/>
  <c r="M45"/>
  <c r="M43"/>
  <c r="L47"/>
  <c r="L45"/>
  <c r="L43"/>
  <c r="L41"/>
  <c r="L48"/>
  <c r="L46"/>
  <c r="L44"/>
  <c r="L42"/>
  <c r="L40"/>
  <c r="O41"/>
  <c r="O46"/>
  <c r="O44"/>
  <c r="O42"/>
  <c r="M48"/>
  <c r="M46"/>
  <c r="M44"/>
  <c r="M42"/>
  <c r="O17"/>
  <c r="O47" s="1"/>
  <c r="O15"/>
  <c r="O45" s="1"/>
  <c r="O13"/>
  <c r="O43" s="1"/>
  <c r="O24"/>
  <c r="M41"/>
  <c r="O39"/>
  <c r="I48"/>
  <c r="I47"/>
  <c r="I43"/>
  <c r="I41"/>
  <c r="I40"/>
  <c r="I39"/>
  <c r="I46"/>
  <c r="H45"/>
  <c r="I45"/>
  <c r="I44"/>
  <c r="I42"/>
  <c r="H48"/>
  <c r="H44"/>
  <c r="H42"/>
  <c r="H41"/>
  <c r="H40"/>
  <c r="H50"/>
  <c r="E50"/>
  <c r="E48"/>
  <c r="E46"/>
  <c r="E44"/>
  <c r="E42"/>
  <c r="E41"/>
  <c r="E40"/>
  <c r="M44" i="6" l="1"/>
  <c r="O14"/>
  <c r="O44" s="1"/>
  <c r="M43"/>
  <c r="O13"/>
  <c r="O43" s="1"/>
  <c r="M46"/>
  <c r="O16"/>
  <c r="O46" s="1"/>
  <c r="M39" i="1"/>
  <c r="M10"/>
  <c r="O10" l="1"/>
  <c r="O40" s="1"/>
  <c r="M40"/>
</calcChain>
</file>

<file path=xl/sharedStrings.xml><?xml version="1.0" encoding="utf-8"?>
<sst xmlns="http://schemas.openxmlformats.org/spreadsheetml/2006/main" count="74" uniqueCount="41">
  <si>
    <t>Forecast Load  Peak (MW)</t>
  </si>
  <si>
    <t>Year</t>
  </si>
  <si>
    <t>Firm Sales (MW)</t>
  </si>
  <si>
    <t>Forecast Peak Load plus Sales plus Planning Reserve (MW)</t>
  </si>
  <si>
    <t>East Side</t>
  </si>
  <si>
    <t>West Side</t>
  </si>
  <si>
    <t>System Total</t>
  </si>
  <si>
    <t>Load Percent Change</t>
  </si>
  <si>
    <t>2011-2020 Average Growth</t>
  </si>
  <si>
    <t>Total Obligation Percent Change</t>
  </si>
  <si>
    <t>Existing System Resources w/o DSM (MW)</t>
  </si>
  <si>
    <t>Resource Deficit</t>
  </si>
  <si>
    <t>Lakeside 2</t>
  </si>
  <si>
    <t>Wyoming wind QFs (143 MW nameplate)</t>
  </si>
  <si>
    <t>Current Class 1  DSM Reductions in Load (MW)</t>
  </si>
  <si>
    <t xml:space="preserve">1/  An additional 375 MW of FOTs are supposedly available from Mid-Columbia at a price premium; one might consider this </t>
  </si>
  <si>
    <t>as an "emergency backup."</t>
  </si>
  <si>
    <t>2/  FOTs and DSM are not assigned a planning reserve since the seller presumably has the reserves. Therefore,  PacifiCorp reduces its</t>
  </si>
  <si>
    <t>required planning reserve by 13 percent; this effectively increases the value of FOTs and DSM by 13 percent.</t>
  </si>
  <si>
    <t>Assumed Additions to Class 1 and 2 DSM --Preferred Portfolio  (MW)</t>
  </si>
  <si>
    <t>Total Estimated Available FOTs 1/ (MW)</t>
  </si>
  <si>
    <t>3/  Some excess FOT capacity on the West side can be transferred to the East side to balance the system.</t>
  </si>
  <si>
    <t>FOT (@ 90 Percent) and DSM Resources with 13 Percent Planning Margin 2/ (MW)</t>
  </si>
  <si>
    <t>Source: Compiled from PacifiCorp 2011 IRP, Table 5.11, page 102; Table 6.18, page 151; Table 8.17, page 231.</t>
  </si>
  <si>
    <t>Wyoming wind (300 MW nameplate)</t>
  </si>
  <si>
    <t>Wyoming wind (200 MW nameplate)</t>
  </si>
  <si>
    <t>Comments</t>
  </si>
  <si>
    <t>Division of Public Utilities' Review and Check of PacifiCorp's Resource Needs</t>
  </si>
  <si>
    <t>Resource Additions (MW)</t>
  </si>
  <si>
    <t>Resource Deficit plus Assumed Plant Additions       (MW)</t>
  </si>
  <si>
    <t>Resource Deficit less Estimated DSM and Available Effective FOTs  3/ (MW)</t>
  </si>
  <si>
    <t>Wyoming wind (300 MW nameplate), CCCT @ 475MW</t>
  </si>
  <si>
    <t>Potential FOT Reductions</t>
  </si>
  <si>
    <t>Lakeside 2, per IRP</t>
  </si>
  <si>
    <t>DPU Exhibit 1.4</t>
  </si>
  <si>
    <t>The Division's Rough Needs Assessment</t>
  </si>
  <si>
    <t>PacifiCorp 2011 IRP Preferred Portfolio</t>
  </si>
  <si>
    <t>Currant Creek 2, per IRP</t>
  </si>
  <si>
    <t>Currant Creek 2</t>
  </si>
  <si>
    <t>Addional Resource</t>
  </si>
  <si>
    <t>DPU Exhibit 3</t>
  </si>
</sst>
</file>

<file path=xl/styles.xml><?xml version="1.0" encoding="utf-8"?>
<styleSheet xmlns="http://schemas.openxmlformats.org/spreadsheetml/2006/main">
  <fonts count="7">
    <font>
      <sz val="10"/>
      <color theme="1"/>
      <name val="Times New Roman"/>
      <family val="2"/>
    </font>
    <font>
      <b/>
      <u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Times New Roman"/>
      <family val="2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10" fontId="0" fillId="0" borderId="0" xfId="0" applyNumberFormat="1"/>
    <xf numFmtId="10" fontId="0" fillId="0" borderId="0" xfId="0" applyNumberFormat="1" applyAlignment="1">
      <alignment horizontal="center" wrapText="1"/>
    </xf>
    <xf numFmtId="38" fontId="0" fillId="0" borderId="0" xfId="0" applyNumberFormat="1"/>
    <xf numFmtId="38" fontId="0" fillId="0" borderId="0" xfId="0" applyNumberFormat="1" applyAlignment="1">
      <alignment horizontal="center" wrapText="1"/>
    </xf>
    <xf numFmtId="37" fontId="0" fillId="0" borderId="0" xfId="0" applyNumberFormat="1"/>
    <xf numFmtId="37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Continuous"/>
    </xf>
    <xf numFmtId="38" fontId="2" fillId="0" borderId="0" xfId="0" applyNumberFormat="1" applyFont="1" applyAlignment="1">
      <alignment horizontal="centerContinuous"/>
    </xf>
    <xf numFmtId="10" fontId="2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0" fillId="0" borderId="1" xfId="0" applyBorder="1"/>
    <xf numFmtId="0" fontId="4" fillId="0" borderId="0" xfId="0" applyFont="1" applyAlignment="1">
      <alignment horizontal="center"/>
    </xf>
    <xf numFmtId="38" fontId="5" fillId="0" borderId="0" xfId="0" applyNumberFormat="1" applyFont="1" applyAlignment="1">
      <alignment horizontal="centerContinuous"/>
    </xf>
    <xf numFmtId="10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37" fontId="5" fillId="0" borderId="0" xfId="0" applyNumberFormat="1" applyFont="1" applyAlignment="1">
      <alignment horizontal="centerContinuous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topLeftCell="E1" workbookViewId="0">
      <selection activeCell="E3" sqref="E3"/>
    </sheetView>
  </sheetViews>
  <sheetFormatPr defaultRowHeight="12.75"/>
  <cols>
    <col min="1" max="1" width="10.6640625" customWidth="1"/>
    <col min="2" max="2" width="11.83203125" style="7" customWidth="1"/>
    <col min="3" max="3" width="12" style="7" customWidth="1"/>
    <col min="4" max="4" width="10.5" style="7" customWidth="1"/>
    <col min="5" max="5" width="8.1640625" style="5" customWidth="1"/>
    <col min="6" max="6" width="8" style="7" customWidth="1"/>
    <col min="7" max="7" width="10.5" style="7" customWidth="1"/>
    <col min="8" max="8" width="10.83203125" customWidth="1"/>
    <col min="9" max="9" width="9.5" style="7" customWidth="1"/>
    <col min="10" max="10" width="10.83203125" customWidth="1"/>
    <col min="11" max="11" width="10.83203125" style="7" customWidth="1"/>
    <col min="12" max="12" width="10.83203125" style="9" customWidth="1"/>
    <col min="13" max="13" width="10.83203125" customWidth="1"/>
    <col min="14" max="14" width="10.1640625" customWidth="1"/>
    <col min="15" max="15" width="11.5" customWidth="1"/>
    <col min="16" max="16" width="1.83203125" customWidth="1"/>
    <col min="17" max="17" width="50" customWidth="1"/>
    <col min="18" max="18" width="12.83203125" customWidth="1"/>
  </cols>
  <sheetData>
    <row r="1" spans="1:18">
      <c r="Q1" s="17" t="s">
        <v>40</v>
      </c>
    </row>
    <row r="3" spans="1:18" ht="20.25">
      <c r="A3" s="11" t="s">
        <v>27</v>
      </c>
      <c r="B3" s="12"/>
      <c r="C3" s="12"/>
      <c r="D3" s="12"/>
      <c r="E3" s="13"/>
      <c r="F3" s="12"/>
      <c r="G3" s="12"/>
      <c r="H3" s="11"/>
      <c r="I3" s="12"/>
      <c r="J3" s="11"/>
      <c r="K3" s="12"/>
      <c r="L3" s="14"/>
      <c r="M3" s="11"/>
      <c r="N3" s="11"/>
      <c r="O3" s="11"/>
      <c r="P3" s="11"/>
      <c r="Q3" s="11"/>
      <c r="R3" s="22"/>
    </row>
    <row r="4" spans="1:18" ht="20.25">
      <c r="A4" s="11" t="s">
        <v>36</v>
      </c>
      <c r="B4" s="18"/>
      <c r="C4" s="18"/>
      <c r="D4" s="18"/>
      <c r="E4" s="19"/>
      <c r="F4" s="18"/>
      <c r="G4" s="18"/>
      <c r="H4" s="20"/>
      <c r="I4" s="18"/>
      <c r="J4" s="20"/>
      <c r="K4" s="18"/>
      <c r="L4" s="21"/>
      <c r="M4" s="20"/>
      <c r="N4" s="20"/>
      <c r="O4" s="20"/>
      <c r="P4" s="20"/>
      <c r="Q4" s="20"/>
    </row>
    <row r="6" spans="1:18">
      <c r="A6" s="4" t="s">
        <v>4</v>
      </c>
    </row>
    <row r="7" spans="1:18" ht="114.75">
      <c r="A7" s="3" t="s">
        <v>1</v>
      </c>
      <c r="B7" s="8" t="s">
        <v>10</v>
      </c>
      <c r="C7" s="8" t="s">
        <v>14</v>
      </c>
      <c r="D7" s="8" t="s">
        <v>0</v>
      </c>
      <c r="E7" s="6" t="s">
        <v>7</v>
      </c>
      <c r="F7" s="8" t="s">
        <v>2</v>
      </c>
      <c r="G7" s="8" t="s">
        <v>3</v>
      </c>
      <c r="H7" s="6" t="s">
        <v>9</v>
      </c>
      <c r="I7" s="8" t="s">
        <v>11</v>
      </c>
      <c r="J7" s="1" t="s">
        <v>20</v>
      </c>
      <c r="K7" s="8" t="s">
        <v>19</v>
      </c>
      <c r="L7" s="10" t="s">
        <v>22</v>
      </c>
      <c r="M7" s="8" t="s">
        <v>30</v>
      </c>
      <c r="N7" s="1" t="s">
        <v>28</v>
      </c>
      <c r="O7" s="8" t="s">
        <v>29</v>
      </c>
      <c r="P7" s="8"/>
      <c r="Q7" s="1" t="s">
        <v>26</v>
      </c>
      <c r="R7" s="1"/>
    </row>
    <row r="8" spans="1:18" ht="7.5" customHeight="1">
      <c r="B8" s="8"/>
      <c r="C8" s="8"/>
      <c r="D8" s="8"/>
      <c r="E8" s="6"/>
      <c r="F8" s="8"/>
      <c r="G8" s="8"/>
      <c r="H8" s="6"/>
      <c r="J8" s="1"/>
      <c r="K8" s="8"/>
      <c r="L8" s="10"/>
      <c r="M8" s="1"/>
      <c r="N8" s="1"/>
      <c r="O8" s="1"/>
      <c r="P8" s="1"/>
      <c r="Q8" s="2"/>
      <c r="R8" s="2"/>
    </row>
    <row r="9" spans="1:18">
      <c r="A9">
        <v>2011</v>
      </c>
      <c r="B9" s="7">
        <f>-C9+8553</f>
        <v>8229</v>
      </c>
      <c r="C9" s="7">
        <v>324</v>
      </c>
      <c r="D9" s="7">
        <v>7184</v>
      </c>
      <c r="F9" s="7">
        <v>758</v>
      </c>
      <c r="G9" s="7">
        <v>8881</v>
      </c>
      <c r="H9" s="5"/>
      <c r="I9" s="7">
        <f>B9+C9-G9</f>
        <v>-328</v>
      </c>
      <c r="J9">
        <v>640</v>
      </c>
      <c r="K9" s="7">
        <v>34</v>
      </c>
      <c r="L9" s="9">
        <f>(J9*0.9+K9)*1.13</f>
        <v>689.3</v>
      </c>
      <c r="M9" s="7">
        <f t="shared" ref="M9:M18" si="0">I9+L9</f>
        <v>361.29999999999995</v>
      </c>
      <c r="O9" s="7">
        <f>M9+SUM($N$9:N9)</f>
        <v>361.29999999999995</v>
      </c>
      <c r="P9" s="7"/>
    </row>
    <row r="10" spans="1:18">
      <c r="A10">
        <v>2012</v>
      </c>
      <c r="B10" s="7">
        <f>-C10+8290</f>
        <v>7961</v>
      </c>
      <c r="C10" s="7">
        <v>329</v>
      </c>
      <c r="D10" s="7">
        <v>7344</v>
      </c>
      <c r="E10" s="5">
        <f>D10/D9-1</f>
        <v>2.2271714922049046E-2</v>
      </c>
      <c r="F10" s="7">
        <v>997</v>
      </c>
      <c r="G10" s="7">
        <v>9324</v>
      </c>
      <c r="H10" s="5">
        <f>G10/G9-1</f>
        <v>4.988177007093797E-2</v>
      </c>
      <c r="I10" s="7">
        <f t="shared" ref="I10:I18" si="1">B10+C10-G10</f>
        <v>-1034</v>
      </c>
      <c r="J10">
        <v>640</v>
      </c>
      <c r="K10" s="7">
        <f>65+73</f>
        <v>138</v>
      </c>
      <c r="L10" s="9">
        <f t="shared" ref="L10:L33" si="2">(J10*0.9+K10)*1.13</f>
        <v>806.81999999999994</v>
      </c>
      <c r="M10" s="7">
        <f t="shared" si="0"/>
        <v>-227.18000000000006</v>
      </c>
      <c r="N10">
        <v>50</v>
      </c>
      <c r="O10" s="7">
        <f>M10+SUM($N$9:N10)</f>
        <v>-177.18000000000006</v>
      </c>
      <c r="P10" s="7"/>
      <c r="Q10" t="s">
        <v>13</v>
      </c>
    </row>
    <row r="11" spans="1:18">
      <c r="A11">
        <v>2013</v>
      </c>
      <c r="B11" s="7">
        <f>-C11+8174</f>
        <v>7845</v>
      </c>
      <c r="C11" s="7">
        <v>329</v>
      </c>
      <c r="D11" s="7">
        <v>7566</v>
      </c>
      <c r="E11" s="5">
        <f t="shared" ref="E11:E18" si="3">D11/D10-1</f>
        <v>3.0228758169934533E-2</v>
      </c>
      <c r="F11" s="7">
        <v>1045</v>
      </c>
      <c r="G11" s="7">
        <v>9643</v>
      </c>
      <c r="H11" s="5">
        <f t="shared" ref="H11:H18" si="4">G11/G10-1</f>
        <v>3.4212784212784175E-2</v>
      </c>
      <c r="I11" s="7">
        <f t="shared" si="1"/>
        <v>-1469</v>
      </c>
      <c r="J11">
        <v>714</v>
      </c>
      <c r="K11" s="7">
        <f>65+88</f>
        <v>153</v>
      </c>
      <c r="L11" s="9">
        <f t="shared" si="2"/>
        <v>899.02799999999991</v>
      </c>
      <c r="M11" s="7">
        <f t="shared" si="0"/>
        <v>-569.97200000000009</v>
      </c>
      <c r="O11" s="7">
        <f>M11+SUM($N$9:N11)</f>
        <v>-519.97200000000009</v>
      </c>
      <c r="P11" s="7"/>
    </row>
    <row r="12" spans="1:18">
      <c r="A12">
        <v>2014</v>
      </c>
      <c r="B12" s="7">
        <f>-C12+7916</f>
        <v>7587</v>
      </c>
      <c r="C12" s="7">
        <v>329</v>
      </c>
      <c r="D12" s="7">
        <v>7805</v>
      </c>
      <c r="E12" s="5">
        <f t="shared" si="3"/>
        <v>3.1588686227861595E-2</v>
      </c>
      <c r="F12" s="7">
        <v>745</v>
      </c>
      <c r="G12" s="7">
        <v>9613</v>
      </c>
      <c r="H12" s="5">
        <f t="shared" si="4"/>
        <v>-3.1110650212589075E-3</v>
      </c>
      <c r="I12" s="7">
        <f t="shared" si="1"/>
        <v>-1697</v>
      </c>
      <c r="J12">
        <v>714</v>
      </c>
      <c r="K12" s="7">
        <f>85+128</f>
        <v>213</v>
      </c>
      <c r="L12" s="9">
        <f t="shared" si="2"/>
        <v>966.82799999999997</v>
      </c>
      <c r="M12" s="7">
        <f t="shared" si="0"/>
        <v>-730.17200000000003</v>
      </c>
      <c r="N12">
        <v>625</v>
      </c>
      <c r="O12" s="7">
        <f>M12+SUM($N$9:N12)</f>
        <v>-55.172000000000025</v>
      </c>
      <c r="P12" s="7"/>
      <c r="Q12" t="s">
        <v>33</v>
      </c>
    </row>
    <row r="13" spans="1:18">
      <c r="A13">
        <v>2015</v>
      </c>
      <c r="B13" s="7">
        <f>-C13+7768</f>
        <v>7439</v>
      </c>
      <c r="C13" s="7">
        <v>329</v>
      </c>
      <c r="D13" s="7">
        <v>8009</v>
      </c>
      <c r="E13" s="5">
        <f t="shared" si="3"/>
        <v>2.613709160794353E-2</v>
      </c>
      <c r="F13" s="7">
        <v>745</v>
      </c>
      <c r="G13" s="7">
        <v>9844</v>
      </c>
      <c r="H13" s="5">
        <f t="shared" si="4"/>
        <v>2.4029959429938685E-2</v>
      </c>
      <c r="I13" s="7">
        <f t="shared" si="1"/>
        <v>-2076</v>
      </c>
      <c r="J13">
        <v>650</v>
      </c>
      <c r="K13" s="7">
        <f>176+170</f>
        <v>346</v>
      </c>
      <c r="L13" s="9">
        <f t="shared" si="2"/>
        <v>1052.03</v>
      </c>
      <c r="M13" s="7">
        <f t="shared" si="0"/>
        <v>-1023.97</v>
      </c>
      <c r="O13" s="7">
        <f>M13+SUM($N$9:N13)</f>
        <v>-348.97</v>
      </c>
      <c r="P13" s="7"/>
    </row>
    <row r="14" spans="1:18">
      <c r="A14">
        <v>2016</v>
      </c>
      <c r="B14" s="7">
        <f>-C14+7949</f>
        <v>7620</v>
      </c>
      <c r="C14" s="7">
        <v>329</v>
      </c>
      <c r="D14" s="7">
        <v>8201</v>
      </c>
      <c r="E14" s="5">
        <f t="shared" si="3"/>
        <v>2.3973030340866508E-2</v>
      </c>
      <c r="F14" s="7">
        <v>745</v>
      </c>
      <c r="G14" s="7">
        <v>10063</v>
      </c>
      <c r="H14" s="5">
        <f t="shared" si="4"/>
        <v>2.2247054043071923E-2</v>
      </c>
      <c r="I14" s="7">
        <f t="shared" si="1"/>
        <v>-2114</v>
      </c>
      <c r="J14">
        <v>650</v>
      </c>
      <c r="K14" s="7">
        <f>176+214</f>
        <v>390</v>
      </c>
      <c r="L14" s="9">
        <f t="shared" si="2"/>
        <v>1101.75</v>
      </c>
      <c r="M14" s="7">
        <f t="shared" si="0"/>
        <v>-1012.25</v>
      </c>
      <c r="N14">
        <v>597</v>
      </c>
      <c r="O14" s="7">
        <f>M14+SUM($N$9:N14)</f>
        <v>259.75</v>
      </c>
      <c r="P14" s="7"/>
      <c r="Q14" t="s">
        <v>37</v>
      </c>
    </row>
    <row r="15" spans="1:18">
      <c r="A15">
        <v>2017</v>
      </c>
      <c r="B15" s="7">
        <f>-C15+7997</f>
        <v>7668</v>
      </c>
      <c r="C15" s="7">
        <v>329</v>
      </c>
      <c r="D15" s="7">
        <v>8377</v>
      </c>
      <c r="E15" s="5">
        <f t="shared" si="3"/>
        <v>2.146079746372398E-2</v>
      </c>
      <c r="F15" s="7">
        <v>659</v>
      </c>
      <c r="G15" s="7">
        <v>10165</v>
      </c>
      <c r="H15" s="5">
        <f t="shared" si="4"/>
        <v>1.0136142303488027E-2</v>
      </c>
      <c r="I15" s="7">
        <f t="shared" si="1"/>
        <v>-2168</v>
      </c>
      <c r="J15">
        <v>550</v>
      </c>
      <c r="K15" s="7">
        <f>176+261</f>
        <v>437</v>
      </c>
      <c r="L15" s="9">
        <f t="shared" si="2"/>
        <v>1053.1599999999999</v>
      </c>
      <c r="M15" s="7">
        <f t="shared" si="0"/>
        <v>-1114.8400000000001</v>
      </c>
      <c r="O15" s="7">
        <f>M15+SUM($N$9:N15)</f>
        <v>157.15999999999985</v>
      </c>
      <c r="P15" s="7"/>
    </row>
    <row r="16" spans="1:18">
      <c r="A16">
        <v>2018</v>
      </c>
      <c r="B16" s="7">
        <f>-C16+7749</f>
        <v>7420</v>
      </c>
      <c r="C16" s="7">
        <v>329</v>
      </c>
      <c r="D16" s="7">
        <v>8544</v>
      </c>
      <c r="E16" s="5">
        <f t="shared" si="3"/>
        <v>1.9935537782022283E-2</v>
      </c>
      <c r="F16" s="7">
        <v>659</v>
      </c>
      <c r="G16" s="7">
        <v>10354</v>
      </c>
      <c r="H16" s="5">
        <f t="shared" si="4"/>
        <v>1.8593212001967618E-2</v>
      </c>
      <c r="I16" s="7">
        <f t="shared" si="1"/>
        <v>-2605</v>
      </c>
      <c r="J16">
        <v>550</v>
      </c>
      <c r="K16" s="7">
        <f>176+309</f>
        <v>485</v>
      </c>
      <c r="L16" s="9">
        <f t="shared" si="2"/>
        <v>1107.3999999999999</v>
      </c>
      <c r="M16" s="7">
        <f t="shared" si="0"/>
        <v>-1497.6000000000001</v>
      </c>
      <c r="N16">
        <v>105</v>
      </c>
      <c r="O16" s="7">
        <f>M16+SUM($N$9:N16)</f>
        <v>-120.60000000000014</v>
      </c>
      <c r="P16" s="7"/>
      <c r="Q16" t="s">
        <v>24</v>
      </c>
    </row>
    <row r="17" spans="1:17">
      <c r="A17">
        <v>2019</v>
      </c>
      <c r="B17" s="7">
        <f>-C17+7811</f>
        <v>7482</v>
      </c>
      <c r="C17" s="7">
        <v>329</v>
      </c>
      <c r="D17" s="7">
        <v>8712</v>
      </c>
      <c r="E17" s="5">
        <f t="shared" si="3"/>
        <v>1.9662921348314599E-2</v>
      </c>
      <c r="F17" s="7">
        <v>659</v>
      </c>
      <c r="G17" s="7">
        <v>10544</v>
      </c>
      <c r="H17" s="5">
        <f t="shared" si="4"/>
        <v>1.8350395982229095E-2</v>
      </c>
      <c r="I17" s="7">
        <f t="shared" si="1"/>
        <v>-2733</v>
      </c>
      <c r="J17">
        <v>550</v>
      </c>
      <c r="K17" s="7">
        <f>176+358</f>
        <v>534</v>
      </c>
      <c r="L17" s="9">
        <f t="shared" si="2"/>
        <v>1162.77</v>
      </c>
      <c r="M17" s="7">
        <f t="shared" si="0"/>
        <v>-1570.23</v>
      </c>
      <c r="N17">
        <f>105+475</f>
        <v>580</v>
      </c>
      <c r="O17" s="7">
        <f>M17+SUM($N$9:N17)</f>
        <v>386.77</v>
      </c>
      <c r="P17" s="7"/>
      <c r="Q17" t="s">
        <v>31</v>
      </c>
    </row>
    <row r="18" spans="1:17">
      <c r="A18">
        <v>2020</v>
      </c>
      <c r="B18" s="7">
        <f>-C18+7778</f>
        <v>7449</v>
      </c>
      <c r="C18" s="7">
        <v>329</v>
      </c>
      <c r="D18" s="7">
        <v>8896</v>
      </c>
      <c r="E18" s="5">
        <f t="shared" si="3"/>
        <v>2.1120293847566529E-2</v>
      </c>
      <c r="F18" s="7">
        <v>659</v>
      </c>
      <c r="G18" s="7">
        <v>10752</v>
      </c>
      <c r="H18" s="5">
        <f t="shared" si="4"/>
        <v>1.9726858877086473E-2</v>
      </c>
      <c r="I18" s="7">
        <f t="shared" si="1"/>
        <v>-2974</v>
      </c>
      <c r="J18">
        <v>550</v>
      </c>
      <c r="K18" s="7">
        <f>176+410</f>
        <v>586</v>
      </c>
      <c r="L18" s="9">
        <f t="shared" si="2"/>
        <v>1221.53</v>
      </c>
      <c r="M18" s="7">
        <f t="shared" si="0"/>
        <v>-1752.47</v>
      </c>
      <c r="N18">
        <v>70</v>
      </c>
      <c r="O18" s="7">
        <f>M18+SUM($N$9:N18)</f>
        <v>274.52999999999997</v>
      </c>
      <c r="P18" s="7"/>
      <c r="Q18" t="s">
        <v>25</v>
      </c>
    </row>
    <row r="19" spans="1:17">
      <c r="H19" s="5"/>
      <c r="M19" s="7"/>
      <c r="O19" s="7"/>
      <c r="P19" s="7"/>
    </row>
    <row r="20" spans="1:17">
      <c r="A20" t="s">
        <v>8</v>
      </c>
      <c r="E20" s="5">
        <f>RATE((2020-2011),,-D9,D18)</f>
        <v>2.4033754663082937E-2</v>
      </c>
      <c r="H20" s="5">
        <f>RATE((2020-2011),,-G9,G18)</f>
        <v>2.1469174208725766E-2</v>
      </c>
      <c r="M20" s="7"/>
      <c r="O20" s="7"/>
      <c r="P20" s="7"/>
    </row>
    <row r="21" spans="1:17">
      <c r="M21" s="7"/>
      <c r="O21" s="7"/>
      <c r="P21" s="7"/>
    </row>
    <row r="22" spans="1:17">
      <c r="A22" s="4" t="s">
        <v>5</v>
      </c>
      <c r="M22" s="7"/>
      <c r="O22" s="7"/>
      <c r="P22" s="7"/>
    </row>
    <row r="23" spans="1:17" ht="7.5" customHeight="1">
      <c r="M23" s="7"/>
      <c r="O23" s="7"/>
      <c r="P23" s="7"/>
    </row>
    <row r="24" spans="1:17">
      <c r="A24">
        <v>2011</v>
      </c>
      <c r="B24" s="7">
        <v>3915</v>
      </c>
      <c r="C24" s="7">
        <v>0</v>
      </c>
      <c r="D24" s="7">
        <v>3266</v>
      </c>
      <c r="F24" s="7">
        <v>290</v>
      </c>
      <c r="G24" s="7">
        <v>3913</v>
      </c>
      <c r="H24" s="5"/>
      <c r="I24" s="7">
        <f t="shared" ref="I24:I33" si="5">B24+C24-G24</f>
        <v>2</v>
      </c>
      <c r="J24">
        <v>850</v>
      </c>
      <c r="K24" s="7">
        <f>15</f>
        <v>15</v>
      </c>
      <c r="L24" s="9">
        <f t="shared" si="2"/>
        <v>881.39999999999986</v>
      </c>
      <c r="M24" s="7">
        <f t="shared" ref="M24:M33" si="6">I24+L24</f>
        <v>883.39999999999986</v>
      </c>
      <c r="O24" s="7">
        <f t="shared" ref="O24:O33" si="7">M24+N24</f>
        <v>883.39999999999986</v>
      </c>
      <c r="P24" s="7"/>
    </row>
    <row r="25" spans="1:17">
      <c r="A25">
        <v>2012</v>
      </c>
      <c r="B25" s="7">
        <v>3512</v>
      </c>
      <c r="C25" s="7">
        <v>0</v>
      </c>
      <c r="D25" s="7">
        <v>3374</v>
      </c>
      <c r="E25" s="5">
        <f t="shared" ref="E25:E33" si="8">D25/D24-1</f>
        <v>3.306797305572573E-2</v>
      </c>
      <c r="F25" s="7">
        <v>258</v>
      </c>
      <c r="G25" s="7">
        <v>4079</v>
      </c>
      <c r="H25" s="5">
        <f>G25/G24-1</f>
        <v>4.2422693585484339E-2</v>
      </c>
      <c r="I25" s="7">
        <f t="shared" si="5"/>
        <v>-567</v>
      </c>
      <c r="J25">
        <v>850</v>
      </c>
      <c r="K25" s="7">
        <f>30</f>
        <v>30</v>
      </c>
      <c r="L25" s="9">
        <f t="shared" si="2"/>
        <v>898.34999999999991</v>
      </c>
      <c r="M25" s="7">
        <f t="shared" si="6"/>
        <v>331.34999999999991</v>
      </c>
      <c r="O25" s="7">
        <f t="shared" si="7"/>
        <v>331.34999999999991</v>
      </c>
      <c r="P25" s="7"/>
    </row>
    <row r="26" spans="1:17">
      <c r="A26">
        <v>2013</v>
      </c>
      <c r="B26" s="7">
        <v>3636</v>
      </c>
      <c r="C26" s="7">
        <v>0</v>
      </c>
      <c r="D26" s="7">
        <v>3395</v>
      </c>
      <c r="E26" s="5">
        <f t="shared" si="8"/>
        <v>6.2240663900414717E-3</v>
      </c>
      <c r="F26" s="7">
        <v>258</v>
      </c>
      <c r="G26" s="7">
        <v>4092</v>
      </c>
      <c r="H26" s="5">
        <f t="shared" ref="H26:H33" si="9">G26/G25-1</f>
        <v>3.1870556508948322E-3</v>
      </c>
      <c r="I26" s="7">
        <f t="shared" si="5"/>
        <v>-456</v>
      </c>
      <c r="J26">
        <v>850</v>
      </c>
      <c r="K26" s="7">
        <f>62+43</f>
        <v>105</v>
      </c>
      <c r="L26" s="9">
        <f t="shared" si="2"/>
        <v>983.09999999999991</v>
      </c>
      <c r="M26" s="7">
        <f t="shared" si="6"/>
        <v>527.09999999999991</v>
      </c>
      <c r="O26" s="7">
        <f t="shared" si="7"/>
        <v>527.09999999999991</v>
      </c>
      <c r="P26" s="7"/>
    </row>
    <row r="27" spans="1:17">
      <c r="A27">
        <v>2014</v>
      </c>
      <c r="B27" s="7">
        <v>3489</v>
      </c>
      <c r="C27" s="7">
        <v>0</v>
      </c>
      <c r="D27" s="7">
        <v>3448</v>
      </c>
      <c r="E27" s="5">
        <f t="shared" si="8"/>
        <v>1.5611192930780504E-2</v>
      </c>
      <c r="F27" s="7">
        <v>258</v>
      </c>
      <c r="G27" s="7">
        <v>4165</v>
      </c>
      <c r="H27" s="5">
        <f t="shared" si="9"/>
        <v>1.7839687194525888E-2</v>
      </c>
      <c r="I27" s="7">
        <f t="shared" si="5"/>
        <v>-676</v>
      </c>
      <c r="J27">
        <v>850</v>
      </c>
      <c r="K27" s="7">
        <f>62+60</f>
        <v>122</v>
      </c>
      <c r="L27" s="9">
        <f t="shared" si="2"/>
        <v>1002.31</v>
      </c>
      <c r="M27" s="7">
        <f t="shared" si="6"/>
        <v>326.30999999999995</v>
      </c>
      <c r="O27" s="7">
        <f t="shared" si="7"/>
        <v>326.30999999999995</v>
      </c>
      <c r="P27" s="7"/>
    </row>
    <row r="28" spans="1:17">
      <c r="A28">
        <v>2015</v>
      </c>
      <c r="B28" s="7">
        <v>3631</v>
      </c>
      <c r="C28" s="7">
        <v>0</v>
      </c>
      <c r="D28" s="7">
        <v>3491</v>
      </c>
      <c r="E28" s="5">
        <f t="shared" si="8"/>
        <v>1.24709976798143E-2</v>
      </c>
      <c r="F28" s="7">
        <v>158</v>
      </c>
      <c r="G28" s="7">
        <v>4101</v>
      </c>
      <c r="H28" s="5">
        <f t="shared" si="9"/>
        <v>-1.5366146458583474E-2</v>
      </c>
      <c r="I28" s="7">
        <f t="shared" si="5"/>
        <v>-470</v>
      </c>
      <c r="J28">
        <v>850</v>
      </c>
      <c r="K28" s="7">
        <f>72+77</f>
        <v>149</v>
      </c>
      <c r="L28" s="9">
        <f t="shared" si="2"/>
        <v>1032.82</v>
      </c>
      <c r="M28" s="7">
        <f t="shared" si="6"/>
        <v>562.81999999999994</v>
      </c>
      <c r="O28" s="7">
        <f t="shared" si="7"/>
        <v>562.81999999999994</v>
      </c>
      <c r="P28" s="7"/>
    </row>
    <row r="29" spans="1:17">
      <c r="A29">
        <v>2016</v>
      </c>
      <c r="B29" s="7">
        <v>3447</v>
      </c>
      <c r="C29" s="7">
        <v>0</v>
      </c>
      <c r="D29" s="7">
        <v>3541</v>
      </c>
      <c r="E29" s="5">
        <f t="shared" si="8"/>
        <v>1.4322543683758182E-2</v>
      </c>
      <c r="F29" s="7">
        <v>108</v>
      </c>
      <c r="G29" s="7">
        <v>4100</v>
      </c>
      <c r="H29" s="5">
        <f t="shared" si="9"/>
        <v>-2.4384296513046966E-4</v>
      </c>
      <c r="I29" s="7">
        <f t="shared" si="5"/>
        <v>-653</v>
      </c>
      <c r="J29">
        <v>850</v>
      </c>
      <c r="K29" s="7">
        <f>72+94</f>
        <v>166</v>
      </c>
      <c r="L29" s="9">
        <f t="shared" si="2"/>
        <v>1052.03</v>
      </c>
      <c r="M29" s="7">
        <f t="shared" si="6"/>
        <v>399.03</v>
      </c>
      <c r="O29" s="7">
        <f t="shared" si="7"/>
        <v>399.03</v>
      </c>
      <c r="P29" s="7"/>
    </row>
    <row r="30" spans="1:17">
      <c r="A30">
        <v>2017</v>
      </c>
      <c r="B30" s="7">
        <v>3415</v>
      </c>
      <c r="C30" s="7">
        <v>0</v>
      </c>
      <c r="D30" s="7">
        <v>3584</v>
      </c>
      <c r="E30" s="5">
        <f t="shared" si="8"/>
        <v>1.2143462298785712E-2</v>
      </c>
      <c r="F30" s="7">
        <v>108</v>
      </c>
      <c r="G30" s="7">
        <v>4145</v>
      </c>
      <c r="H30" s="5">
        <f t="shared" si="9"/>
        <v>1.0975609756097571E-2</v>
      </c>
      <c r="I30" s="7">
        <f t="shared" si="5"/>
        <v>-730</v>
      </c>
      <c r="J30">
        <v>850</v>
      </c>
      <c r="K30" s="7">
        <f>72+111</f>
        <v>183</v>
      </c>
      <c r="L30" s="9">
        <f t="shared" si="2"/>
        <v>1071.24</v>
      </c>
      <c r="M30" s="7">
        <f t="shared" si="6"/>
        <v>341.24</v>
      </c>
      <c r="O30" s="7">
        <f t="shared" si="7"/>
        <v>341.24</v>
      </c>
      <c r="P30" s="7"/>
    </row>
    <row r="31" spans="1:17">
      <c r="A31">
        <v>2018</v>
      </c>
      <c r="B31" s="7">
        <v>3684</v>
      </c>
      <c r="C31" s="7">
        <v>0</v>
      </c>
      <c r="D31" s="7">
        <v>3650</v>
      </c>
      <c r="E31" s="5">
        <f t="shared" si="8"/>
        <v>1.8415178571428603E-2</v>
      </c>
      <c r="F31" s="7">
        <v>108</v>
      </c>
      <c r="G31" s="7">
        <v>4218</v>
      </c>
      <c r="H31" s="5">
        <f t="shared" si="9"/>
        <v>1.7611580217129053E-2</v>
      </c>
      <c r="I31" s="7">
        <f t="shared" si="5"/>
        <v>-534</v>
      </c>
      <c r="J31">
        <v>850</v>
      </c>
      <c r="K31" s="7">
        <f>72+125</f>
        <v>197</v>
      </c>
      <c r="L31" s="9">
        <f t="shared" si="2"/>
        <v>1087.06</v>
      </c>
      <c r="M31" s="7">
        <f t="shared" si="6"/>
        <v>553.05999999999995</v>
      </c>
      <c r="O31" s="7">
        <f t="shared" si="7"/>
        <v>553.05999999999995</v>
      </c>
      <c r="P31" s="7"/>
    </row>
    <row r="32" spans="1:17">
      <c r="A32">
        <v>2019</v>
      </c>
      <c r="B32" s="7">
        <v>3584</v>
      </c>
      <c r="C32" s="7">
        <v>0</v>
      </c>
      <c r="D32" s="7">
        <v>3666</v>
      </c>
      <c r="E32" s="5">
        <f t="shared" si="8"/>
        <v>4.3835616438356872E-3</v>
      </c>
      <c r="F32" s="7">
        <v>108</v>
      </c>
      <c r="G32" s="7">
        <v>4234</v>
      </c>
      <c r="H32" s="5">
        <f t="shared" si="9"/>
        <v>3.7932669511617778E-3</v>
      </c>
      <c r="I32" s="7">
        <f t="shared" si="5"/>
        <v>-650</v>
      </c>
      <c r="J32">
        <v>850</v>
      </c>
      <c r="K32" s="7">
        <f>72+140</f>
        <v>212</v>
      </c>
      <c r="L32" s="9">
        <f t="shared" si="2"/>
        <v>1104.01</v>
      </c>
      <c r="M32" s="7">
        <f t="shared" si="6"/>
        <v>454.01</v>
      </c>
      <c r="O32" s="7">
        <f t="shared" si="7"/>
        <v>454.01</v>
      </c>
      <c r="P32" s="7"/>
    </row>
    <row r="33" spans="1:17">
      <c r="A33">
        <v>2020</v>
      </c>
      <c r="B33" s="7">
        <v>3414</v>
      </c>
      <c r="C33" s="7">
        <v>0</v>
      </c>
      <c r="D33" s="7">
        <v>3713</v>
      </c>
      <c r="E33" s="5">
        <f t="shared" si="8"/>
        <v>1.2820512820512775E-2</v>
      </c>
      <c r="F33" s="7">
        <v>108</v>
      </c>
      <c r="G33" s="7">
        <v>4293</v>
      </c>
      <c r="H33" s="5">
        <f t="shared" si="9"/>
        <v>1.393481341521019E-2</v>
      </c>
      <c r="I33" s="7">
        <f t="shared" si="5"/>
        <v>-879</v>
      </c>
      <c r="J33">
        <v>850</v>
      </c>
      <c r="K33" s="7">
        <f>72+156</f>
        <v>228</v>
      </c>
      <c r="L33" s="9">
        <f t="shared" si="2"/>
        <v>1122.0899999999999</v>
      </c>
      <c r="M33" s="7">
        <f t="shared" si="6"/>
        <v>243.08999999999992</v>
      </c>
      <c r="O33" s="7">
        <f t="shared" si="7"/>
        <v>243.08999999999992</v>
      </c>
      <c r="P33" s="7"/>
    </row>
    <row r="34" spans="1:17">
      <c r="H34" s="5"/>
      <c r="M34" s="7"/>
    </row>
    <row r="35" spans="1:17">
      <c r="A35" t="s">
        <v>8</v>
      </c>
      <c r="E35" s="5">
        <f>RATE((2020-2011),,-D24,D33)</f>
        <v>1.4354740550388602E-2</v>
      </c>
      <c r="H35" s="5">
        <f>RATE((2020-2011),,-G24,G33)</f>
        <v>1.0351144695522096E-2</v>
      </c>
      <c r="M35" s="7"/>
    </row>
    <row r="36" spans="1:17">
      <c r="M36" s="7"/>
    </row>
    <row r="37" spans="1:17" ht="38.25">
      <c r="A37" s="4" t="s">
        <v>6</v>
      </c>
      <c r="M37" s="7"/>
      <c r="O37" s="15" t="s">
        <v>32</v>
      </c>
    </row>
    <row r="38" spans="1:17" ht="7.5" customHeight="1">
      <c r="M38" s="7"/>
      <c r="O38" s="16"/>
    </row>
    <row r="39" spans="1:17">
      <c r="A39">
        <v>2011</v>
      </c>
      <c r="B39" s="7">
        <f t="shared" ref="B39:D48" si="10">B9+B24</f>
        <v>12144</v>
      </c>
      <c r="C39" s="7">
        <f t="shared" si="10"/>
        <v>324</v>
      </c>
      <c r="D39" s="7">
        <f t="shared" si="10"/>
        <v>10450</v>
      </c>
      <c r="F39" s="7">
        <f t="shared" ref="F39:G48" si="11">F9+F24</f>
        <v>1048</v>
      </c>
      <c r="G39" s="7">
        <f t="shared" si="11"/>
        <v>12794</v>
      </c>
      <c r="H39" s="5"/>
      <c r="I39" s="7">
        <f>B39+C39-G39</f>
        <v>-326</v>
      </c>
      <c r="J39">
        <f>J9+J24</f>
        <v>1490</v>
      </c>
      <c r="K39" s="7">
        <f>K9+K24</f>
        <v>49</v>
      </c>
      <c r="L39" s="7">
        <f>L9+L24</f>
        <v>1570.6999999999998</v>
      </c>
      <c r="M39" s="7">
        <f t="shared" ref="M39" si="12">M9+M24</f>
        <v>1244.6999999999998</v>
      </c>
      <c r="O39" s="7">
        <f t="shared" ref="O39:O48" si="13">O9+O24</f>
        <v>1244.6999999999998</v>
      </c>
      <c r="P39" s="7"/>
    </row>
    <row r="40" spans="1:17">
      <c r="A40">
        <v>2012</v>
      </c>
      <c r="B40" s="7">
        <f t="shared" si="10"/>
        <v>11473</v>
      </c>
      <c r="C40" s="7">
        <f t="shared" si="10"/>
        <v>329</v>
      </c>
      <c r="D40" s="7">
        <f t="shared" si="10"/>
        <v>10718</v>
      </c>
      <c r="E40" s="5">
        <f t="shared" ref="E40:E48" si="14">D40/D39-1</f>
        <v>2.5645933014354139E-2</v>
      </c>
      <c r="F40" s="7">
        <f t="shared" si="11"/>
        <v>1255</v>
      </c>
      <c r="G40" s="7">
        <f t="shared" si="11"/>
        <v>13403</v>
      </c>
      <c r="H40" s="5">
        <f>G40/G39-1</f>
        <v>4.7600437705174192E-2</v>
      </c>
      <c r="I40" s="7">
        <f t="shared" ref="I40:I48" si="15">B40+C40-G40</f>
        <v>-1601</v>
      </c>
      <c r="J40">
        <f t="shared" ref="J40:M40" si="16">J10+J25</f>
        <v>1490</v>
      </c>
      <c r="K40" s="7">
        <f t="shared" si="16"/>
        <v>168</v>
      </c>
      <c r="L40" s="7">
        <f t="shared" si="16"/>
        <v>1705.1699999999998</v>
      </c>
      <c r="M40" s="7">
        <f t="shared" si="16"/>
        <v>104.16999999999985</v>
      </c>
      <c r="N40">
        <f>N10</f>
        <v>50</v>
      </c>
      <c r="O40" s="7">
        <f t="shared" si="13"/>
        <v>154.16999999999985</v>
      </c>
      <c r="P40" s="7"/>
      <c r="Q40" t="str">
        <f>Q10</f>
        <v>Wyoming wind QFs (143 MW nameplate)</v>
      </c>
    </row>
    <row r="41" spans="1:17">
      <c r="A41">
        <v>2013</v>
      </c>
      <c r="B41" s="7">
        <f t="shared" si="10"/>
        <v>11481</v>
      </c>
      <c r="C41" s="7">
        <f t="shared" si="10"/>
        <v>329</v>
      </c>
      <c r="D41" s="7">
        <f t="shared" si="10"/>
        <v>10961</v>
      </c>
      <c r="E41" s="5">
        <f t="shared" si="14"/>
        <v>2.2672140324687451E-2</v>
      </c>
      <c r="F41" s="7">
        <f t="shared" si="11"/>
        <v>1303</v>
      </c>
      <c r="G41" s="7">
        <f t="shared" si="11"/>
        <v>13735</v>
      </c>
      <c r="H41" s="5">
        <f t="shared" ref="H41:H48" si="17">G41/G40-1</f>
        <v>2.4770573752145086E-2</v>
      </c>
      <c r="I41" s="7">
        <f t="shared" si="15"/>
        <v>-1925</v>
      </c>
      <c r="J41">
        <f t="shared" ref="J41:M41" si="18">J11+J26</f>
        <v>1564</v>
      </c>
      <c r="K41" s="7">
        <f t="shared" si="18"/>
        <v>258</v>
      </c>
      <c r="L41" s="7">
        <f t="shared" si="18"/>
        <v>1882.1279999999997</v>
      </c>
      <c r="M41" s="7">
        <f t="shared" si="18"/>
        <v>-42.872000000000185</v>
      </c>
      <c r="O41" s="7">
        <f t="shared" si="13"/>
        <v>7.1279999999998154</v>
      </c>
      <c r="P41" s="7"/>
    </row>
    <row r="42" spans="1:17">
      <c r="A42">
        <v>2014</v>
      </c>
      <c r="B42" s="7">
        <f t="shared" si="10"/>
        <v>11076</v>
      </c>
      <c r="C42" s="7">
        <f t="shared" si="10"/>
        <v>329</v>
      </c>
      <c r="D42" s="7">
        <f t="shared" si="10"/>
        <v>11253</v>
      </c>
      <c r="E42" s="5">
        <f t="shared" si="14"/>
        <v>2.6639905118146068E-2</v>
      </c>
      <c r="F42" s="7">
        <f t="shared" si="11"/>
        <v>1003</v>
      </c>
      <c r="G42" s="7">
        <f t="shared" si="11"/>
        <v>13778</v>
      </c>
      <c r="H42" s="5">
        <f t="shared" si="17"/>
        <v>3.1306880232981893E-3</v>
      </c>
      <c r="I42" s="7">
        <f t="shared" si="15"/>
        <v>-2373</v>
      </c>
      <c r="J42">
        <f t="shared" ref="J42:M42" si="19">J12+J27</f>
        <v>1564</v>
      </c>
      <c r="K42" s="7">
        <f t="shared" si="19"/>
        <v>335</v>
      </c>
      <c r="L42" s="7">
        <f t="shared" si="19"/>
        <v>1969.1379999999999</v>
      </c>
      <c r="M42" s="7">
        <f t="shared" si="19"/>
        <v>-403.86200000000008</v>
      </c>
      <c r="N42">
        <f t="shared" ref="N42:Q42" si="20">N12</f>
        <v>625</v>
      </c>
      <c r="O42" s="7">
        <f t="shared" si="13"/>
        <v>271.13799999999992</v>
      </c>
      <c r="P42" s="7"/>
      <c r="Q42" t="str">
        <f t="shared" si="20"/>
        <v>Lakeside 2, per IRP</v>
      </c>
    </row>
    <row r="43" spans="1:17">
      <c r="A43">
        <v>2015</v>
      </c>
      <c r="B43" s="7">
        <f t="shared" si="10"/>
        <v>11070</v>
      </c>
      <c r="C43" s="7">
        <f t="shared" si="10"/>
        <v>329</v>
      </c>
      <c r="D43" s="7">
        <f t="shared" si="10"/>
        <v>11500</v>
      </c>
      <c r="E43" s="5">
        <f t="shared" si="14"/>
        <v>2.194970230160842E-2</v>
      </c>
      <c r="F43" s="7">
        <f t="shared" si="11"/>
        <v>903</v>
      </c>
      <c r="G43" s="7">
        <f t="shared" si="11"/>
        <v>13945</v>
      </c>
      <c r="H43" s="5">
        <f t="shared" si="17"/>
        <v>1.2120772245608924E-2</v>
      </c>
      <c r="I43" s="7">
        <f t="shared" si="15"/>
        <v>-2546</v>
      </c>
      <c r="J43">
        <f t="shared" ref="J43:M43" si="21">J13+J28</f>
        <v>1500</v>
      </c>
      <c r="K43" s="7">
        <f t="shared" si="21"/>
        <v>495</v>
      </c>
      <c r="L43" s="7">
        <f t="shared" si="21"/>
        <v>2084.85</v>
      </c>
      <c r="M43" s="7">
        <f t="shared" si="21"/>
        <v>-461.15000000000009</v>
      </c>
      <c r="O43" s="7">
        <f t="shared" si="13"/>
        <v>213.84999999999991</v>
      </c>
      <c r="P43" s="7"/>
    </row>
    <row r="44" spans="1:17">
      <c r="A44">
        <v>2016</v>
      </c>
      <c r="B44" s="7">
        <f t="shared" si="10"/>
        <v>11067</v>
      </c>
      <c r="C44" s="7">
        <f t="shared" si="10"/>
        <v>329</v>
      </c>
      <c r="D44" s="7">
        <f t="shared" si="10"/>
        <v>11742</v>
      </c>
      <c r="E44" s="5">
        <f t="shared" si="14"/>
        <v>2.1043478260869497E-2</v>
      </c>
      <c r="F44" s="7">
        <f t="shared" si="11"/>
        <v>853</v>
      </c>
      <c r="G44" s="7">
        <f t="shared" si="11"/>
        <v>14163</v>
      </c>
      <c r="H44" s="5">
        <f t="shared" si="17"/>
        <v>1.563284331301551E-2</v>
      </c>
      <c r="I44" s="7">
        <f t="shared" si="15"/>
        <v>-2767</v>
      </c>
      <c r="J44">
        <f t="shared" ref="J44:M44" si="22">J14+J29</f>
        <v>1500</v>
      </c>
      <c r="K44" s="7">
        <f t="shared" si="22"/>
        <v>556</v>
      </c>
      <c r="L44" s="7">
        <f t="shared" si="22"/>
        <v>2153.7799999999997</v>
      </c>
      <c r="M44" s="7">
        <f t="shared" si="22"/>
        <v>-613.22</v>
      </c>
      <c r="N44">
        <f t="shared" ref="N44:Q44" si="23">N14</f>
        <v>597</v>
      </c>
      <c r="O44" s="7">
        <f t="shared" si="13"/>
        <v>658.78</v>
      </c>
      <c r="P44" s="7"/>
      <c r="Q44" t="str">
        <f t="shared" si="23"/>
        <v>Currant Creek 2, per IRP</v>
      </c>
    </row>
    <row r="45" spans="1:17">
      <c r="A45">
        <v>2017</v>
      </c>
      <c r="B45" s="7">
        <f t="shared" si="10"/>
        <v>11083</v>
      </c>
      <c r="C45" s="7">
        <f t="shared" si="10"/>
        <v>329</v>
      </c>
      <c r="D45" s="7">
        <f t="shared" si="10"/>
        <v>11961</v>
      </c>
      <c r="E45" s="5">
        <f t="shared" si="14"/>
        <v>1.8650996423096533E-2</v>
      </c>
      <c r="F45" s="7">
        <f t="shared" si="11"/>
        <v>767</v>
      </c>
      <c r="G45" s="7">
        <f t="shared" si="11"/>
        <v>14310</v>
      </c>
      <c r="H45" s="5">
        <f t="shared" si="17"/>
        <v>1.0379156958271629E-2</v>
      </c>
      <c r="I45" s="7">
        <f t="shared" si="15"/>
        <v>-2898</v>
      </c>
      <c r="J45">
        <f t="shared" ref="J45:M45" si="24">J15+J30</f>
        <v>1400</v>
      </c>
      <c r="K45" s="7">
        <f t="shared" si="24"/>
        <v>620</v>
      </c>
      <c r="L45" s="7">
        <f t="shared" si="24"/>
        <v>2124.3999999999996</v>
      </c>
      <c r="M45" s="7">
        <f t="shared" si="24"/>
        <v>-773.60000000000014</v>
      </c>
      <c r="O45" s="7">
        <f t="shared" si="13"/>
        <v>498.39999999999986</v>
      </c>
      <c r="P45" s="7"/>
    </row>
    <row r="46" spans="1:17">
      <c r="A46">
        <v>2018</v>
      </c>
      <c r="B46" s="7">
        <f t="shared" si="10"/>
        <v>11104</v>
      </c>
      <c r="C46" s="7">
        <f t="shared" si="10"/>
        <v>329</v>
      </c>
      <c r="D46" s="7">
        <f t="shared" si="10"/>
        <v>12194</v>
      </c>
      <c r="E46" s="5">
        <f t="shared" si="14"/>
        <v>1.9479976590585979E-2</v>
      </c>
      <c r="F46" s="7">
        <f t="shared" si="11"/>
        <v>767</v>
      </c>
      <c r="G46" s="7">
        <f t="shared" si="11"/>
        <v>14572</v>
      </c>
      <c r="H46" s="5">
        <f t="shared" si="17"/>
        <v>1.8308874912648543E-2</v>
      </c>
      <c r="I46" s="7">
        <f t="shared" si="15"/>
        <v>-3139</v>
      </c>
      <c r="J46">
        <f t="shared" ref="J46:M46" si="25">J16+J31</f>
        <v>1400</v>
      </c>
      <c r="K46" s="7">
        <f t="shared" si="25"/>
        <v>682</v>
      </c>
      <c r="L46" s="7">
        <f t="shared" si="25"/>
        <v>2194.46</v>
      </c>
      <c r="M46" s="7">
        <f t="shared" si="25"/>
        <v>-944.54000000000019</v>
      </c>
      <c r="N46">
        <f t="shared" ref="N46:Q46" si="26">N16</f>
        <v>105</v>
      </c>
      <c r="O46" s="7">
        <f t="shared" si="13"/>
        <v>432.45999999999981</v>
      </c>
      <c r="P46" s="7"/>
      <c r="Q46" t="str">
        <f t="shared" si="26"/>
        <v>Wyoming wind (300 MW nameplate)</v>
      </c>
    </row>
    <row r="47" spans="1:17">
      <c r="A47">
        <v>2019</v>
      </c>
      <c r="B47" s="7">
        <f t="shared" si="10"/>
        <v>11066</v>
      </c>
      <c r="C47" s="7">
        <f t="shared" si="10"/>
        <v>329</v>
      </c>
      <c r="D47" s="7">
        <f t="shared" si="10"/>
        <v>12378</v>
      </c>
      <c r="E47" s="5">
        <f t="shared" si="14"/>
        <v>1.5089388223716638E-2</v>
      </c>
      <c r="F47" s="7">
        <f t="shared" si="11"/>
        <v>767</v>
      </c>
      <c r="G47" s="7">
        <f t="shared" si="11"/>
        <v>14778</v>
      </c>
      <c r="H47" s="5">
        <f t="shared" si="17"/>
        <v>1.4136700521548251E-2</v>
      </c>
      <c r="I47" s="7">
        <f t="shared" si="15"/>
        <v>-3383</v>
      </c>
      <c r="J47">
        <f t="shared" ref="J47:M47" si="27">J17+J32</f>
        <v>1400</v>
      </c>
      <c r="K47" s="7">
        <f t="shared" si="27"/>
        <v>746</v>
      </c>
      <c r="L47" s="7">
        <f t="shared" si="27"/>
        <v>2266.7799999999997</v>
      </c>
      <c r="M47" s="7">
        <f t="shared" si="27"/>
        <v>-1116.22</v>
      </c>
      <c r="N47">
        <f t="shared" ref="N47:Q47" si="28">N17</f>
        <v>580</v>
      </c>
      <c r="O47" s="7">
        <f t="shared" si="13"/>
        <v>840.78</v>
      </c>
      <c r="P47" s="7"/>
      <c r="Q47" t="str">
        <f t="shared" si="28"/>
        <v>Wyoming wind (300 MW nameplate), CCCT @ 475MW</v>
      </c>
    </row>
    <row r="48" spans="1:17">
      <c r="A48">
        <v>2020</v>
      </c>
      <c r="B48" s="7">
        <f t="shared" si="10"/>
        <v>10863</v>
      </c>
      <c r="C48" s="7">
        <f t="shared" si="10"/>
        <v>329</v>
      </c>
      <c r="D48" s="7">
        <f t="shared" si="10"/>
        <v>12609</v>
      </c>
      <c r="E48" s="5">
        <f t="shared" si="14"/>
        <v>1.8662142510906365E-2</v>
      </c>
      <c r="F48" s="7">
        <f t="shared" si="11"/>
        <v>767</v>
      </c>
      <c r="G48" s="7">
        <f t="shared" si="11"/>
        <v>15045</v>
      </c>
      <c r="H48" s="5">
        <f t="shared" si="17"/>
        <v>1.8067397482744552E-2</v>
      </c>
      <c r="I48" s="7">
        <f t="shared" si="15"/>
        <v>-3853</v>
      </c>
      <c r="J48">
        <f t="shared" ref="J48:M48" si="29">J18+J33</f>
        <v>1400</v>
      </c>
      <c r="K48" s="7">
        <f t="shared" si="29"/>
        <v>814</v>
      </c>
      <c r="L48" s="7">
        <f t="shared" si="29"/>
        <v>2343.62</v>
      </c>
      <c r="M48" s="7">
        <f t="shared" si="29"/>
        <v>-1509.38</v>
      </c>
      <c r="N48">
        <f t="shared" ref="N48:Q48" si="30">N18</f>
        <v>70</v>
      </c>
      <c r="O48" s="7">
        <f t="shared" si="13"/>
        <v>517.61999999999989</v>
      </c>
      <c r="P48" s="7"/>
      <c r="Q48" t="str">
        <f t="shared" si="30"/>
        <v>Wyoming wind (200 MW nameplate)</v>
      </c>
    </row>
    <row r="49" spans="1:8">
      <c r="H49" s="5"/>
    </row>
    <row r="50" spans="1:8">
      <c r="A50" t="s">
        <v>8</v>
      </c>
      <c r="E50" s="5">
        <f>RATE((2020-2011),,-D39,D48)</f>
        <v>2.1086903690136244E-2</v>
      </c>
      <c r="H50" s="5">
        <f>RATE((2020-2011),,-G39,G48)</f>
        <v>1.8170827481580845E-2</v>
      </c>
    </row>
    <row r="52" spans="1:8">
      <c r="B52" s="7" t="s">
        <v>15</v>
      </c>
    </row>
    <row r="53" spans="1:8">
      <c r="C53" s="7" t="s">
        <v>16</v>
      </c>
    </row>
    <row r="54" spans="1:8">
      <c r="B54" s="7" t="s">
        <v>17</v>
      </c>
    </row>
    <row r="55" spans="1:8">
      <c r="C55" s="7" t="s">
        <v>18</v>
      </c>
    </row>
    <row r="56" spans="1:8">
      <c r="B56" s="7" t="s">
        <v>21</v>
      </c>
    </row>
    <row r="57" spans="1:8" ht="7.5" customHeight="1"/>
    <row r="58" spans="1:8">
      <c r="B58" s="7" t="s">
        <v>23</v>
      </c>
    </row>
  </sheetData>
  <printOptions horizontalCentered="1"/>
  <pageMargins left="0.7" right="0.7" top="0.33" bottom="0.37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>
      <selection activeCell="N49" sqref="N49"/>
    </sheetView>
  </sheetViews>
  <sheetFormatPr defaultRowHeight="12.75"/>
  <cols>
    <col min="1" max="1" width="10.6640625" customWidth="1"/>
    <col min="2" max="2" width="11.83203125" style="7" customWidth="1"/>
    <col min="3" max="3" width="12" style="7" customWidth="1"/>
    <col min="4" max="4" width="10.5" style="7" customWidth="1"/>
    <col min="5" max="5" width="8.1640625" style="5" customWidth="1"/>
    <col min="6" max="6" width="8" style="7" customWidth="1"/>
    <col min="7" max="7" width="10.5" style="7" customWidth="1"/>
    <col min="8" max="8" width="10.83203125" customWidth="1"/>
    <col min="9" max="9" width="9.5" style="7" customWidth="1"/>
    <col min="10" max="10" width="10.83203125" customWidth="1"/>
    <col min="11" max="11" width="10.83203125" style="7" customWidth="1"/>
    <col min="12" max="12" width="10.83203125" style="9" customWidth="1"/>
    <col min="13" max="13" width="10.83203125" customWidth="1"/>
    <col min="14" max="14" width="10.1640625" customWidth="1"/>
    <col min="15" max="15" width="11.5" customWidth="1"/>
    <col min="16" max="16" width="1.83203125" customWidth="1"/>
    <col min="17" max="17" width="43.1640625" customWidth="1"/>
    <col min="18" max="18" width="12.83203125" customWidth="1"/>
  </cols>
  <sheetData>
    <row r="1" spans="1:18">
      <c r="Q1" s="17" t="s">
        <v>34</v>
      </c>
    </row>
    <row r="2" spans="1:18" ht="20.25">
      <c r="A2" s="11" t="s">
        <v>27</v>
      </c>
      <c r="B2" s="12"/>
      <c r="C2" s="12"/>
      <c r="D2" s="12"/>
      <c r="E2" s="13"/>
      <c r="F2" s="12"/>
      <c r="G2" s="12"/>
      <c r="H2" s="11"/>
      <c r="I2" s="12"/>
      <c r="J2" s="11"/>
      <c r="K2" s="12"/>
      <c r="L2" s="14"/>
      <c r="M2" s="11"/>
      <c r="N2" s="11"/>
      <c r="O2" s="11"/>
      <c r="P2" s="11"/>
      <c r="Q2" s="11"/>
    </row>
    <row r="3" spans="1:18" ht="20.25">
      <c r="A3" s="11" t="s">
        <v>35</v>
      </c>
      <c r="B3" s="12"/>
      <c r="C3" s="12"/>
      <c r="D3" s="12"/>
      <c r="E3" s="13"/>
      <c r="F3" s="12"/>
      <c r="G3" s="12"/>
      <c r="H3" s="11"/>
      <c r="I3" s="12"/>
      <c r="J3" s="11"/>
      <c r="K3" s="12"/>
      <c r="L3" s="14"/>
      <c r="M3" s="11"/>
      <c r="N3" s="11"/>
      <c r="O3" s="11"/>
      <c r="P3" s="11"/>
      <c r="Q3" s="11"/>
    </row>
    <row r="5" spans="1:18">
      <c r="A5" s="4" t="s">
        <v>4</v>
      </c>
    </row>
    <row r="6" spans="1:18" ht="114.75">
      <c r="A6" s="3" t="s">
        <v>1</v>
      </c>
      <c r="B6" s="8" t="s">
        <v>10</v>
      </c>
      <c r="C6" s="8" t="s">
        <v>14</v>
      </c>
      <c r="D6" s="8" t="s">
        <v>0</v>
      </c>
      <c r="E6" s="6" t="s">
        <v>7</v>
      </c>
      <c r="F6" s="8" t="s">
        <v>2</v>
      </c>
      <c r="G6" s="8" t="s">
        <v>3</v>
      </c>
      <c r="H6" s="6" t="s">
        <v>9</v>
      </c>
      <c r="I6" s="8" t="s">
        <v>11</v>
      </c>
      <c r="J6" s="1" t="s">
        <v>20</v>
      </c>
      <c r="K6" s="8" t="s">
        <v>19</v>
      </c>
      <c r="L6" s="10" t="s">
        <v>22</v>
      </c>
      <c r="M6" s="8" t="s">
        <v>30</v>
      </c>
      <c r="N6" s="1" t="s">
        <v>28</v>
      </c>
      <c r="O6" s="8" t="s">
        <v>29</v>
      </c>
      <c r="P6" s="8"/>
      <c r="Q6" s="1" t="s">
        <v>26</v>
      </c>
      <c r="R6" s="1"/>
    </row>
    <row r="7" spans="1:18" ht="7.5" customHeight="1">
      <c r="B7" s="8"/>
      <c r="C7" s="8"/>
      <c r="D7" s="8"/>
      <c r="E7" s="6"/>
      <c r="F7" s="8"/>
      <c r="G7" s="8"/>
      <c r="H7" s="6"/>
      <c r="J7" s="1"/>
      <c r="K7" s="8"/>
      <c r="L7" s="10"/>
      <c r="M7" s="1"/>
      <c r="N7" s="1"/>
      <c r="O7" s="1"/>
      <c r="P7" s="1"/>
      <c r="Q7" s="2"/>
      <c r="R7" s="2"/>
    </row>
    <row r="8" spans="1:18">
      <c r="A8">
        <v>2011</v>
      </c>
      <c r="B8" s="7">
        <f>-C8+8553</f>
        <v>8229</v>
      </c>
      <c r="C8" s="7">
        <v>324</v>
      </c>
      <c r="D8" s="7">
        <v>7184</v>
      </c>
      <c r="F8" s="7">
        <v>758</v>
      </c>
      <c r="G8" s="7">
        <v>8881</v>
      </c>
      <c r="H8" s="5"/>
      <c r="I8" s="7">
        <f>B8+C8-G8</f>
        <v>-328</v>
      </c>
      <c r="J8">
        <v>640</v>
      </c>
      <c r="K8" s="7">
        <v>34</v>
      </c>
      <c r="L8" s="9">
        <f>(J8*0.9+K8)*1.13</f>
        <v>689.3</v>
      </c>
      <c r="M8" s="7">
        <f t="shared" ref="M8:M17" si="0">I8+L8</f>
        <v>361.29999999999995</v>
      </c>
      <c r="O8" s="7">
        <f>M8+SUM($N$8:N8)</f>
        <v>361.29999999999995</v>
      </c>
      <c r="P8" s="7"/>
    </row>
    <row r="9" spans="1:18">
      <c r="A9">
        <v>2012</v>
      </c>
      <c r="B9" s="7">
        <f>-C9+8290</f>
        <v>7961</v>
      </c>
      <c r="C9" s="7">
        <v>329</v>
      </c>
      <c r="D9" s="7">
        <v>7344</v>
      </c>
      <c r="E9" s="5">
        <f>D9/D8-1</f>
        <v>2.2271714922049046E-2</v>
      </c>
      <c r="F9" s="7">
        <v>997</v>
      </c>
      <c r="G9" s="7">
        <v>9324</v>
      </c>
      <c r="H9" s="5">
        <f>G9/G8-1</f>
        <v>4.988177007093797E-2</v>
      </c>
      <c r="I9" s="7">
        <f t="shared" ref="I9:I17" si="1">B9+C9-G9</f>
        <v>-1034</v>
      </c>
      <c r="J9">
        <v>640</v>
      </c>
      <c r="K9" s="7">
        <f>65+73</f>
        <v>138</v>
      </c>
      <c r="L9" s="9">
        <f t="shared" ref="L9:L32" si="2">(J9*0.9+K9)*1.13</f>
        <v>806.81999999999994</v>
      </c>
      <c r="M9" s="7">
        <f t="shared" si="0"/>
        <v>-227.18000000000006</v>
      </c>
      <c r="N9">
        <v>50</v>
      </c>
      <c r="O9" s="7">
        <f>M9+SUM($N$8:N9)</f>
        <v>-177.18000000000006</v>
      </c>
      <c r="P9" s="7"/>
      <c r="Q9" t="s">
        <v>13</v>
      </c>
    </row>
    <row r="10" spans="1:18">
      <c r="A10">
        <v>2013</v>
      </c>
      <c r="B10" s="7">
        <f>-C10+8174</f>
        <v>7845</v>
      </c>
      <c r="C10" s="7">
        <v>329</v>
      </c>
      <c r="D10" s="7">
        <v>7566</v>
      </c>
      <c r="E10" s="5">
        <f t="shared" ref="E10:E17" si="3">D10/D9-1</f>
        <v>3.0228758169934533E-2</v>
      </c>
      <c r="F10" s="7">
        <v>1045</v>
      </c>
      <c r="G10" s="7">
        <v>9643</v>
      </c>
      <c r="H10" s="5">
        <f t="shared" ref="H10:H17" si="4">G10/G9-1</f>
        <v>3.4212784212784175E-2</v>
      </c>
      <c r="I10" s="7">
        <f t="shared" si="1"/>
        <v>-1469</v>
      </c>
      <c r="J10">
        <v>714</v>
      </c>
      <c r="K10" s="7">
        <f>65+88</f>
        <v>153</v>
      </c>
      <c r="L10" s="9">
        <f t="shared" si="2"/>
        <v>899.02799999999991</v>
      </c>
      <c r="M10" s="7">
        <f t="shared" si="0"/>
        <v>-569.97200000000009</v>
      </c>
      <c r="O10" s="7">
        <f>M10+SUM($N$8:N10)</f>
        <v>-519.97200000000009</v>
      </c>
      <c r="P10" s="7"/>
    </row>
    <row r="11" spans="1:18">
      <c r="A11">
        <v>2014</v>
      </c>
      <c r="B11" s="7">
        <f>-C11+7916</f>
        <v>7587</v>
      </c>
      <c r="C11" s="7">
        <v>329</v>
      </c>
      <c r="D11" s="7">
        <v>7805</v>
      </c>
      <c r="E11" s="5">
        <f t="shared" si="3"/>
        <v>3.1588686227861595E-2</v>
      </c>
      <c r="F11" s="7">
        <v>745</v>
      </c>
      <c r="G11" s="7">
        <v>9613</v>
      </c>
      <c r="H11" s="5">
        <f t="shared" si="4"/>
        <v>-3.1110650212589075E-3</v>
      </c>
      <c r="I11" s="7">
        <f t="shared" si="1"/>
        <v>-1697</v>
      </c>
      <c r="J11">
        <v>714</v>
      </c>
      <c r="K11" s="7">
        <f>85+128</f>
        <v>213</v>
      </c>
      <c r="L11" s="9">
        <f t="shared" si="2"/>
        <v>966.82799999999997</v>
      </c>
      <c r="M11" s="7">
        <f t="shared" si="0"/>
        <v>-730.17200000000003</v>
      </c>
      <c r="N11">
        <v>637</v>
      </c>
      <c r="O11" s="7">
        <f>M11+SUM($N$8:N11)</f>
        <v>-43.172000000000025</v>
      </c>
      <c r="P11" s="7"/>
      <c r="Q11" t="s">
        <v>12</v>
      </c>
    </row>
    <row r="12" spans="1:18">
      <c r="A12">
        <v>2015</v>
      </c>
      <c r="B12" s="7">
        <f>-C12+7768</f>
        <v>7439</v>
      </c>
      <c r="C12" s="7">
        <v>329</v>
      </c>
      <c r="D12" s="7">
        <v>8009</v>
      </c>
      <c r="E12" s="5">
        <f t="shared" si="3"/>
        <v>2.613709160794353E-2</v>
      </c>
      <c r="F12" s="7">
        <v>745</v>
      </c>
      <c r="G12" s="7">
        <v>9844</v>
      </c>
      <c r="H12" s="5">
        <f t="shared" si="4"/>
        <v>2.4029959429938685E-2</v>
      </c>
      <c r="I12" s="7">
        <f t="shared" si="1"/>
        <v>-2076</v>
      </c>
      <c r="J12">
        <v>650</v>
      </c>
      <c r="K12" s="7">
        <f>176+170</f>
        <v>346</v>
      </c>
      <c r="L12" s="9">
        <f t="shared" si="2"/>
        <v>1052.03</v>
      </c>
      <c r="M12" s="7">
        <f t="shared" si="0"/>
        <v>-1023.97</v>
      </c>
      <c r="O12" s="7">
        <f>M12+SUM($N$8:N12)</f>
        <v>-336.97</v>
      </c>
      <c r="P12" s="7"/>
    </row>
    <row r="13" spans="1:18">
      <c r="A13">
        <v>2016</v>
      </c>
      <c r="B13" s="7">
        <f>-C13+7949</f>
        <v>7620</v>
      </c>
      <c r="C13" s="7">
        <v>329</v>
      </c>
      <c r="D13" s="7">
        <v>8201</v>
      </c>
      <c r="E13" s="5">
        <f t="shared" si="3"/>
        <v>2.3973030340866508E-2</v>
      </c>
      <c r="F13" s="7">
        <v>745</v>
      </c>
      <c r="G13" s="7">
        <v>10063</v>
      </c>
      <c r="H13" s="5">
        <f t="shared" si="4"/>
        <v>2.2247054043071923E-2</v>
      </c>
      <c r="I13" s="7">
        <f t="shared" si="1"/>
        <v>-2114</v>
      </c>
      <c r="J13">
        <v>650</v>
      </c>
      <c r="K13" s="7">
        <f>176+214</f>
        <v>390</v>
      </c>
      <c r="L13" s="9">
        <f t="shared" si="2"/>
        <v>1101.75</v>
      </c>
      <c r="M13" s="7">
        <f t="shared" si="0"/>
        <v>-1012.25</v>
      </c>
      <c r="O13" s="7">
        <f>M13+SUM($N$8:N13)</f>
        <v>-325.25</v>
      </c>
      <c r="P13" s="7"/>
    </row>
    <row r="14" spans="1:18">
      <c r="A14">
        <v>2017</v>
      </c>
      <c r="B14" s="7">
        <f>-C14+7997</f>
        <v>7668</v>
      </c>
      <c r="C14" s="7">
        <v>329</v>
      </c>
      <c r="D14" s="7">
        <v>8377</v>
      </c>
      <c r="E14" s="5">
        <f t="shared" si="3"/>
        <v>2.146079746372398E-2</v>
      </c>
      <c r="F14" s="7">
        <v>659</v>
      </c>
      <c r="G14" s="7">
        <v>10165</v>
      </c>
      <c r="H14" s="5">
        <f t="shared" si="4"/>
        <v>1.0136142303488027E-2</v>
      </c>
      <c r="I14" s="7">
        <f t="shared" si="1"/>
        <v>-2168</v>
      </c>
      <c r="J14">
        <v>550</v>
      </c>
      <c r="K14" s="7">
        <f>176+261</f>
        <v>437</v>
      </c>
      <c r="L14" s="9">
        <f t="shared" si="2"/>
        <v>1053.1599999999999</v>
      </c>
      <c r="M14" s="7">
        <f t="shared" si="0"/>
        <v>-1114.8400000000001</v>
      </c>
      <c r="N14">
        <v>600</v>
      </c>
      <c r="O14" s="7">
        <f>M14+SUM($N$8:N14)</f>
        <v>172.15999999999985</v>
      </c>
      <c r="P14" s="7"/>
      <c r="Q14" t="s">
        <v>38</v>
      </c>
    </row>
    <row r="15" spans="1:18">
      <c r="A15">
        <v>2018</v>
      </c>
      <c r="B15" s="7">
        <f>-C15+7749</f>
        <v>7420</v>
      </c>
      <c r="C15" s="7">
        <v>329</v>
      </c>
      <c r="D15" s="7">
        <v>8544</v>
      </c>
      <c r="E15" s="5">
        <f t="shared" si="3"/>
        <v>1.9935537782022283E-2</v>
      </c>
      <c r="F15" s="7">
        <v>659</v>
      </c>
      <c r="G15" s="7">
        <v>10354</v>
      </c>
      <c r="H15" s="5">
        <f t="shared" si="4"/>
        <v>1.8593212001967618E-2</v>
      </c>
      <c r="I15" s="7">
        <f t="shared" si="1"/>
        <v>-2605</v>
      </c>
      <c r="J15">
        <v>550</v>
      </c>
      <c r="K15" s="7">
        <f>176+309</f>
        <v>485</v>
      </c>
      <c r="L15" s="9">
        <f t="shared" si="2"/>
        <v>1107.3999999999999</v>
      </c>
      <c r="M15" s="7">
        <f t="shared" si="0"/>
        <v>-1497.6000000000001</v>
      </c>
      <c r="O15" s="7">
        <f>M15+SUM($N$8:N15)</f>
        <v>-210.60000000000014</v>
      </c>
      <c r="P15" s="7"/>
    </row>
    <row r="16" spans="1:18">
      <c r="A16">
        <v>2019</v>
      </c>
      <c r="B16" s="7">
        <f>-C16+7811</f>
        <v>7482</v>
      </c>
      <c r="C16" s="7">
        <v>329</v>
      </c>
      <c r="D16" s="7">
        <v>8712</v>
      </c>
      <c r="E16" s="5">
        <f t="shared" si="3"/>
        <v>1.9662921348314599E-2</v>
      </c>
      <c r="F16" s="7">
        <v>659</v>
      </c>
      <c r="G16" s="7">
        <v>10544</v>
      </c>
      <c r="H16" s="5">
        <f t="shared" si="4"/>
        <v>1.8350395982229095E-2</v>
      </c>
      <c r="I16" s="7">
        <f t="shared" si="1"/>
        <v>-2733</v>
      </c>
      <c r="J16">
        <v>550</v>
      </c>
      <c r="K16" s="7">
        <f>176+358</f>
        <v>534</v>
      </c>
      <c r="L16" s="9">
        <f t="shared" si="2"/>
        <v>1162.77</v>
      </c>
      <c r="M16" s="7">
        <f t="shared" si="0"/>
        <v>-1570.23</v>
      </c>
      <c r="N16">
        <v>500</v>
      </c>
      <c r="O16" s="7">
        <f>M16+SUM($N$8:N16)</f>
        <v>216.76999999999998</v>
      </c>
      <c r="P16" s="7"/>
      <c r="Q16" t="s">
        <v>39</v>
      </c>
    </row>
    <row r="17" spans="1:16">
      <c r="A17">
        <v>2020</v>
      </c>
      <c r="B17" s="7">
        <f>-C17+7778</f>
        <v>7449</v>
      </c>
      <c r="C17" s="7">
        <v>329</v>
      </c>
      <c r="D17" s="7">
        <v>8896</v>
      </c>
      <c r="E17" s="5">
        <f t="shared" si="3"/>
        <v>2.1120293847566529E-2</v>
      </c>
      <c r="F17" s="7">
        <v>659</v>
      </c>
      <c r="G17" s="7">
        <v>10752</v>
      </c>
      <c r="H17" s="5">
        <f t="shared" si="4"/>
        <v>1.9726858877086473E-2</v>
      </c>
      <c r="I17" s="7">
        <f t="shared" si="1"/>
        <v>-2974</v>
      </c>
      <c r="J17">
        <v>550</v>
      </c>
      <c r="K17" s="7">
        <f>176+410</f>
        <v>586</v>
      </c>
      <c r="L17" s="9">
        <f t="shared" si="2"/>
        <v>1221.53</v>
      </c>
      <c r="M17" s="7">
        <f t="shared" si="0"/>
        <v>-1752.47</v>
      </c>
      <c r="O17" s="7">
        <f>M17+SUM($N$8:N17)</f>
        <v>34.529999999999973</v>
      </c>
      <c r="P17" s="7"/>
    </row>
    <row r="18" spans="1:16">
      <c r="H18" s="5"/>
      <c r="M18" s="7"/>
      <c r="O18" s="7"/>
      <c r="P18" s="7"/>
    </row>
    <row r="19" spans="1:16">
      <c r="A19" t="s">
        <v>8</v>
      </c>
      <c r="E19" s="5">
        <f>RATE((2020-2011),,-D8,D17)</f>
        <v>2.4033754663082937E-2</v>
      </c>
      <c r="H19" s="5">
        <f>RATE((2020-2011),,-G8,G17)</f>
        <v>2.1469174208725766E-2</v>
      </c>
      <c r="M19" s="7"/>
      <c r="O19" s="7"/>
      <c r="P19" s="7"/>
    </row>
    <row r="20" spans="1:16">
      <c r="M20" s="7"/>
      <c r="O20" s="7"/>
      <c r="P20" s="7"/>
    </row>
    <row r="21" spans="1:16">
      <c r="A21" s="4" t="s">
        <v>5</v>
      </c>
      <c r="M21" s="7"/>
      <c r="O21" s="7"/>
      <c r="P21" s="7"/>
    </row>
    <row r="22" spans="1:16" ht="7.5" customHeight="1">
      <c r="M22" s="7"/>
      <c r="O22" s="7"/>
      <c r="P22" s="7"/>
    </row>
    <row r="23" spans="1:16">
      <c r="A23">
        <v>2011</v>
      </c>
      <c r="B23" s="7">
        <v>3915</v>
      </c>
      <c r="C23" s="7">
        <v>0</v>
      </c>
      <c r="D23" s="7">
        <v>3266</v>
      </c>
      <c r="F23" s="7">
        <v>290</v>
      </c>
      <c r="G23" s="7">
        <v>3913</v>
      </c>
      <c r="H23" s="5"/>
      <c r="I23" s="7">
        <f t="shared" ref="I23:I32" si="5">B23+C23-G23</f>
        <v>2</v>
      </c>
      <c r="J23">
        <v>850</v>
      </c>
      <c r="K23" s="7">
        <f>15</f>
        <v>15</v>
      </c>
      <c r="L23" s="9">
        <f t="shared" si="2"/>
        <v>881.39999999999986</v>
      </c>
      <c r="M23" s="7">
        <f t="shared" ref="M23:M32" si="6">I23+L23</f>
        <v>883.39999999999986</v>
      </c>
      <c r="O23" s="7">
        <f t="shared" ref="O23:O32" si="7">M23+N23</f>
        <v>883.39999999999986</v>
      </c>
      <c r="P23" s="7"/>
    </row>
    <row r="24" spans="1:16">
      <c r="A24">
        <v>2012</v>
      </c>
      <c r="B24" s="7">
        <v>3512</v>
      </c>
      <c r="C24" s="7">
        <v>0</v>
      </c>
      <c r="D24" s="7">
        <v>3374</v>
      </c>
      <c r="E24" s="5">
        <f t="shared" ref="E24:E32" si="8">D24/D23-1</f>
        <v>3.306797305572573E-2</v>
      </c>
      <c r="F24" s="7">
        <v>258</v>
      </c>
      <c r="G24" s="7">
        <v>4079</v>
      </c>
      <c r="H24" s="5">
        <f>G24/G23-1</f>
        <v>4.2422693585484339E-2</v>
      </c>
      <c r="I24" s="7">
        <f t="shared" si="5"/>
        <v>-567</v>
      </c>
      <c r="J24">
        <v>850</v>
      </c>
      <c r="K24" s="7">
        <f>30</f>
        <v>30</v>
      </c>
      <c r="L24" s="9">
        <f t="shared" si="2"/>
        <v>898.34999999999991</v>
      </c>
      <c r="M24" s="7">
        <f t="shared" si="6"/>
        <v>331.34999999999991</v>
      </c>
      <c r="O24" s="7">
        <f t="shared" si="7"/>
        <v>331.34999999999991</v>
      </c>
      <c r="P24" s="7"/>
    </row>
    <row r="25" spans="1:16">
      <c r="A25">
        <v>2013</v>
      </c>
      <c r="B25" s="7">
        <v>3636</v>
      </c>
      <c r="C25" s="7">
        <v>0</v>
      </c>
      <c r="D25" s="7">
        <v>3395</v>
      </c>
      <c r="E25" s="5">
        <f t="shared" si="8"/>
        <v>6.2240663900414717E-3</v>
      </c>
      <c r="F25" s="7">
        <v>258</v>
      </c>
      <c r="G25" s="7">
        <v>4092</v>
      </c>
      <c r="H25" s="5">
        <f t="shared" ref="H25:H32" si="9">G25/G24-1</f>
        <v>3.1870556508948322E-3</v>
      </c>
      <c r="I25" s="7">
        <f t="shared" si="5"/>
        <v>-456</v>
      </c>
      <c r="J25">
        <v>850</v>
      </c>
      <c r="K25" s="7">
        <f>62+43</f>
        <v>105</v>
      </c>
      <c r="L25" s="9">
        <f t="shared" si="2"/>
        <v>983.09999999999991</v>
      </c>
      <c r="M25" s="7">
        <f t="shared" si="6"/>
        <v>527.09999999999991</v>
      </c>
      <c r="O25" s="7">
        <f t="shared" si="7"/>
        <v>527.09999999999991</v>
      </c>
      <c r="P25" s="7"/>
    </row>
    <row r="26" spans="1:16">
      <c r="A26">
        <v>2014</v>
      </c>
      <c r="B26" s="7">
        <v>3489</v>
      </c>
      <c r="C26" s="7">
        <v>0</v>
      </c>
      <c r="D26" s="7">
        <v>3448</v>
      </c>
      <c r="E26" s="5">
        <f t="shared" si="8"/>
        <v>1.5611192930780504E-2</v>
      </c>
      <c r="F26" s="7">
        <v>258</v>
      </c>
      <c r="G26" s="7">
        <v>4165</v>
      </c>
      <c r="H26" s="5">
        <f t="shared" si="9"/>
        <v>1.7839687194525888E-2</v>
      </c>
      <c r="I26" s="7">
        <f t="shared" si="5"/>
        <v>-676</v>
      </c>
      <c r="J26">
        <v>850</v>
      </c>
      <c r="K26" s="7">
        <f>62+60</f>
        <v>122</v>
      </c>
      <c r="L26" s="9">
        <f t="shared" si="2"/>
        <v>1002.31</v>
      </c>
      <c r="M26" s="7">
        <f t="shared" si="6"/>
        <v>326.30999999999995</v>
      </c>
      <c r="O26" s="7">
        <f t="shared" si="7"/>
        <v>326.30999999999995</v>
      </c>
      <c r="P26" s="7"/>
    </row>
    <row r="27" spans="1:16">
      <c r="A27">
        <v>2015</v>
      </c>
      <c r="B27" s="7">
        <v>3631</v>
      </c>
      <c r="C27" s="7">
        <v>0</v>
      </c>
      <c r="D27" s="7">
        <v>3491</v>
      </c>
      <c r="E27" s="5">
        <f t="shared" si="8"/>
        <v>1.24709976798143E-2</v>
      </c>
      <c r="F27" s="7">
        <v>158</v>
      </c>
      <c r="G27" s="7">
        <v>4101</v>
      </c>
      <c r="H27" s="5">
        <f t="shared" si="9"/>
        <v>-1.5366146458583474E-2</v>
      </c>
      <c r="I27" s="7">
        <f t="shared" si="5"/>
        <v>-470</v>
      </c>
      <c r="J27">
        <v>850</v>
      </c>
      <c r="K27" s="7">
        <f>72+77</f>
        <v>149</v>
      </c>
      <c r="L27" s="9">
        <f t="shared" si="2"/>
        <v>1032.82</v>
      </c>
      <c r="M27" s="7">
        <f t="shared" si="6"/>
        <v>562.81999999999994</v>
      </c>
      <c r="O27" s="7">
        <f t="shared" si="7"/>
        <v>562.81999999999994</v>
      </c>
      <c r="P27" s="7"/>
    </row>
    <row r="28" spans="1:16">
      <c r="A28">
        <v>2016</v>
      </c>
      <c r="B28" s="7">
        <v>3447</v>
      </c>
      <c r="C28" s="7">
        <v>0</v>
      </c>
      <c r="D28" s="7">
        <v>3541</v>
      </c>
      <c r="E28" s="5">
        <f t="shared" si="8"/>
        <v>1.4322543683758182E-2</v>
      </c>
      <c r="F28" s="7">
        <v>108</v>
      </c>
      <c r="G28" s="7">
        <v>4100</v>
      </c>
      <c r="H28" s="5">
        <f t="shared" si="9"/>
        <v>-2.4384296513046966E-4</v>
      </c>
      <c r="I28" s="7">
        <f t="shared" si="5"/>
        <v>-653</v>
      </c>
      <c r="J28">
        <v>850</v>
      </c>
      <c r="K28" s="7">
        <f>72+94</f>
        <v>166</v>
      </c>
      <c r="L28" s="9">
        <f t="shared" si="2"/>
        <v>1052.03</v>
      </c>
      <c r="M28" s="7">
        <f t="shared" si="6"/>
        <v>399.03</v>
      </c>
      <c r="O28" s="7">
        <f t="shared" si="7"/>
        <v>399.03</v>
      </c>
      <c r="P28" s="7"/>
    </row>
    <row r="29" spans="1:16">
      <c r="A29">
        <v>2017</v>
      </c>
      <c r="B29" s="7">
        <v>3415</v>
      </c>
      <c r="C29" s="7">
        <v>0</v>
      </c>
      <c r="D29" s="7">
        <v>3584</v>
      </c>
      <c r="E29" s="5">
        <f t="shared" si="8"/>
        <v>1.2143462298785712E-2</v>
      </c>
      <c r="F29" s="7">
        <v>108</v>
      </c>
      <c r="G29" s="7">
        <v>4145</v>
      </c>
      <c r="H29" s="5">
        <f t="shared" si="9"/>
        <v>1.0975609756097571E-2</v>
      </c>
      <c r="I29" s="7">
        <f t="shared" si="5"/>
        <v>-730</v>
      </c>
      <c r="J29">
        <v>850</v>
      </c>
      <c r="K29" s="7">
        <f>72+111</f>
        <v>183</v>
      </c>
      <c r="L29" s="9">
        <f t="shared" si="2"/>
        <v>1071.24</v>
      </c>
      <c r="M29" s="7">
        <f t="shared" si="6"/>
        <v>341.24</v>
      </c>
      <c r="O29" s="7">
        <f t="shared" si="7"/>
        <v>341.24</v>
      </c>
      <c r="P29" s="7"/>
    </row>
    <row r="30" spans="1:16">
      <c r="A30">
        <v>2018</v>
      </c>
      <c r="B30" s="7">
        <v>3684</v>
      </c>
      <c r="C30" s="7">
        <v>0</v>
      </c>
      <c r="D30" s="7">
        <v>3650</v>
      </c>
      <c r="E30" s="5">
        <f t="shared" si="8"/>
        <v>1.8415178571428603E-2</v>
      </c>
      <c r="F30" s="7">
        <v>108</v>
      </c>
      <c r="G30" s="7">
        <v>4218</v>
      </c>
      <c r="H30" s="5">
        <f t="shared" si="9"/>
        <v>1.7611580217129053E-2</v>
      </c>
      <c r="I30" s="7">
        <f t="shared" si="5"/>
        <v>-534</v>
      </c>
      <c r="J30">
        <v>850</v>
      </c>
      <c r="K30" s="7">
        <f>72+125</f>
        <v>197</v>
      </c>
      <c r="L30" s="9">
        <f t="shared" si="2"/>
        <v>1087.06</v>
      </c>
      <c r="M30" s="7">
        <f t="shared" si="6"/>
        <v>553.05999999999995</v>
      </c>
      <c r="O30" s="7">
        <f t="shared" si="7"/>
        <v>553.05999999999995</v>
      </c>
      <c r="P30" s="7"/>
    </row>
    <row r="31" spans="1:16">
      <c r="A31">
        <v>2019</v>
      </c>
      <c r="B31" s="7">
        <v>3584</v>
      </c>
      <c r="C31" s="7">
        <v>0</v>
      </c>
      <c r="D31" s="7">
        <v>3666</v>
      </c>
      <c r="E31" s="5">
        <f t="shared" si="8"/>
        <v>4.3835616438356872E-3</v>
      </c>
      <c r="F31" s="7">
        <v>108</v>
      </c>
      <c r="G31" s="7">
        <v>4234</v>
      </c>
      <c r="H31" s="5">
        <f t="shared" si="9"/>
        <v>3.7932669511617778E-3</v>
      </c>
      <c r="I31" s="7">
        <f t="shared" si="5"/>
        <v>-650</v>
      </c>
      <c r="J31">
        <v>850</v>
      </c>
      <c r="K31" s="7">
        <f>72+140</f>
        <v>212</v>
      </c>
      <c r="L31" s="9">
        <f t="shared" si="2"/>
        <v>1104.01</v>
      </c>
      <c r="M31" s="7">
        <f t="shared" si="6"/>
        <v>454.01</v>
      </c>
      <c r="O31" s="7">
        <f t="shared" si="7"/>
        <v>454.01</v>
      </c>
      <c r="P31" s="7"/>
    </row>
    <row r="32" spans="1:16">
      <c r="A32">
        <v>2020</v>
      </c>
      <c r="B32" s="7">
        <v>3414</v>
      </c>
      <c r="C32" s="7">
        <v>0</v>
      </c>
      <c r="D32" s="7">
        <v>3713</v>
      </c>
      <c r="E32" s="5">
        <f t="shared" si="8"/>
        <v>1.2820512820512775E-2</v>
      </c>
      <c r="F32" s="7">
        <v>108</v>
      </c>
      <c r="G32" s="7">
        <v>4293</v>
      </c>
      <c r="H32" s="5">
        <f t="shared" si="9"/>
        <v>1.393481341521019E-2</v>
      </c>
      <c r="I32" s="7">
        <f t="shared" si="5"/>
        <v>-879</v>
      </c>
      <c r="J32">
        <v>850</v>
      </c>
      <c r="K32" s="7">
        <f>72+156</f>
        <v>228</v>
      </c>
      <c r="L32" s="9">
        <f t="shared" si="2"/>
        <v>1122.0899999999999</v>
      </c>
      <c r="M32" s="7">
        <f t="shared" si="6"/>
        <v>243.08999999999992</v>
      </c>
      <c r="O32" s="7">
        <f t="shared" si="7"/>
        <v>243.08999999999992</v>
      </c>
      <c r="P32" s="7"/>
    </row>
    <row r="33" spans="1:17">
      <c r="H33" s="5"/>
      <c r="M33" s="7"/>
    </row>
    <row r="34" spans="1:17">
      <c r="A34" t="s">
        <v>8</v>
      </c>
      <c r="E34" s="5">
        <f>RATE((2020-2011),,-D23,D32)</f>
        <v>1.4354740550388602E-2</v>
      </c>
      <c r="H34" s="5">
        <f>RATE((2020-2011),,-G23,G32)</f>
        <v>1.0351144695522096E-2</v>
      </c>
      <c r="M34" s="7"/>
    </row>
    <row r="35" spans="1:17">
      <c r="M35" s="7"/>
    </row>
    <row r="36" spans="1:17" ht="38.25">
      <c r="A36" s="4" t="s">
        <v>6</v>
      </c>
      <c r="M36" s="7"/>
      <c r="O36" s="15" t="s">
        <v>32</v>
      </c>
    </row>
    <row r="37" spans="1:17" ht="7.5" customHeight="1">
      <c r="M37" s="7"/>
      <c r="O37" s="16"/>
    </row>
    <row r="38" spans="1:17">
      <c r="A38">
        <v>2011</v>
      </c>
      <c r="B38" s="7">
        <f t="shared" ref="B38:D47" si="10">B8+B23</f>
        <v>12144</v>
      </c>
      <c r="C38" s="7">
        <f t="shared" si="10"/>
        <v>324</v>
      </c>
      <c r="D38" s="7">
        <f t="shared" si="10"/>
        <v>10450</v>
      </c>
      <c r="F38" s="7">
        <f t="shared" ref="F38:G47" si="11">F8+F23</f>
        <v>1048</v>
      </c>
      <c r="G38" s="7">
        <f t="shared" si="11"/>
        <v>12794</v>
      </c>
      <c r="H38" s="5"/>
      <c r="I38" s="7">
        <f>B38+C38-G38</f>
        <v>-326</v>
      </c>
      <c r="J38">
        <f>J8+J23</f>
        <v>1490</v>
      </c>
      <c r="K38" s="7">
        <f>K8+K23</f>
        <v>49</v>
      </c>
      <c r="L38" s="7">
        <f>L8+L23</f>
        <v>1570.6999999999998</v>
      </c>
      <c r="M38" s="7">
        <f t="shared" ref="M38" si="12">M8+M23</f>
        <v>1244.6999999999998</v>
      </c>
      <c r="O38" s="7">
        <f t="shared" ref="O38:O47" si="13">O8+O23</f>
        <v>1244.6999999999998</v>
      </c>
      <c r="P38" s="7"/>
    </row>
    <row r="39" spans="1:17">
      <c r="A39">
        <v>2012</v>
      </c>
      <c r="B39" s="7">
        <f t="shared" si="10"/>
        <v>11473</v>
      </c>
      <c r="C39" s="7">
        <f t="shared" si="10"/>
        <v>329</v>
      </c>
      <c r="D39" s="7">
        <f t="shared" si="10"/>
        <v>10718</v>
      </c>
      <c r="E39" s="5">
        <f t="shared" ref="E39:E47" si="14">D39/D38-1</f>
        <v>2.5645933014354139E-2</v>
      </c>
      <c r="F39" s="7">
        <f t="shared" si="11"/>
        <v>1255</v>
      </c>
      <c r="G39" s="7">
        <f t="shared" si="11"/>
        <v>13403</v>
      </c>
      <c r="H39" s="5">
        <f>G39/G38-1</f>
        <v>4.7600437705174192E-2</v>
      </c>
      <c r="I39" s="7">
        <f t="shared" ref="I39:I47" si="15">B39+C39-G39</f>
        <v>-1601</v>
      </c>
      <c r="J39">
        <f t="shared" ref="J39:M47" si="16">J9+J24</f>
        <v>1490</v>
      </c>
      <c r="K39" s="7">
        <f t="shared" si="16"/>
        <v>168</v>
      </c>
      <c r="L39" s="7">
        <f t="shared" si="16"/>
        <v>1705.1699999999998</v>
      </c>
      <c r="M39" s="7">
        <f t="shared" si="16"/>
        <v>104.16999999999985</v>
      </c>
      <c r="N39">
        <f>N9</f>
        <v>50</v>
      </c>
      <c r="O39" s="7">
        <f t="shared" si="13"/>
        <v>154.16999999999985</v>
      </c>
      <c r="P39" s="7"/>
      <c r="Q39" t="str">
        <f>Q9</f>
        <v>Wyoming wind QFs (143 MW nameplate)</v>
      </c>
    </row>
    <row r="40" spans="1:17">
      <c r="A40">
        <v>2013</v>
      </c>
      <c r="B40" s="7">
        <f t="shared" si="10"/>
        <v>11481</v>
      </c>
      <c r="C40" s="7">
        <f t="shared" si="10"/>
        <v>329</v>
      </c>
      <c r="D40" s="7">
        <f t="shared" si="10"/>
        <v>10961</v>
      </c>
      <c r="E40" s="5">
        <f t="shared" si="14"/>
        <v>2.2672140324687451E-2</v>
      </c>
      <c r="F40" s="7">
        <f t="shared" si="11"/>
        <v>1303</v>
      </c>
      <c r="G40" s="7">
        <f t="shared" si="11"/>
        <v>13735</v>
      </c>
      <c r="H40" s="5">
        <f t="shared" ref="H40:H47" si="17">G40/G39-1</f>
        <v>2.4770573752145086E-2</v>
      </c>
      <c r="I40" s="7">
        <f t="shared" si="15"/>
        <v>-1925</v>
      </c>
      <c r="J40">
        <f t="shared" si="16"/>
        <v>1564</v>
      </c>
      <c r="K40" s="7">
        <f t="shared" si="16"/>
        <v>258</v>
      </c>
      <c r="L40" s="7">
        <f t="shared" si="16"/>
        <v>1882.1279999999997</v>
      </c>
      <c r="M40" s="7">
        <f t="shared" si="16"/>
        <v>-42.872000000000185</v>
      </c>
      <c r="O40" s="7">
        <f t="shared" si="13"/>
        <v>7.1279999999998154</v>
      </c>
      <c r="P40" s="7"/>
    </row>
    <row r="41" spans="1:17">
      <c r="A41">
        <v>2014</v>
      </c>
      <c r="B41" s="7">
        <f t="shared" si="10"/>
        <v>11076</v>
      </c>
      <c r="C41" s="7">
        <f t="shared" si="10"/>
        <v>329</v>
      </c>
      <c r="D41" s="7">
        <f t="shared" si="10"/>
        <v>11253</v>
      </c>
      <c r="E41" s="5">
        <f t="shared" si="14"/>
        <v>2.6639905118146068E-2</v>
      </c>
      <c r="F41" s="7">
        <f t="shared" si="11"/>
        <v>1003</v>
      </c>
      <c r="G41" s="7">
        <f t="shared" si="11"/>
        <v>13778</v>
      </c>
      <c r="H41" s="5">
        <f t="shared" si="17"/>
        <v>3.1306880232981893E-3</v>
      </c>
      <c r="I41" s="7">
        <f t="shared" si="15"/>
        <v>-2373</v>
      </c>
      <c r="J41">
        <f t="shared" si="16"/>
        <v>1564</v>
      </c>
      <c r="K41" s="7">
        <f t="shared" si="16"/>
        <v>335</v>
      </c>
      <c r="L41" s="7">
        <f t="shared" si="16"/>
        <v>1969.1379999999999</v>
      </c>
      <c r="M41" s="7">
        <f t="shared" si="16"/>
        <v>-403.86200000000008</v>
      </c>
      <c r="N41">
        <f t="shared" ref="N41:Q41" si="18">N11</f>
        <v>637</v>
      </c>
      <c r="O41" s="7">
        <f t="shared" si="13"/>
        <v>283.13799999999992</v>
      </c>
      <c r="P41" s="7"/>
      <c r="Q41" t="str">
        <f t="shared" si="18"/>
        <v>Lakeside 2</v>
      </c>
    </row>
    <row r="42" spans="1:17">
      <c r="A42">
        <v>2015</v>
      </c>
      <c r="B42" s="7">
        <f t="shared" si="10"/>
        <v>11070</v>
      </c>
      <c r="C42" s="7">
        <f t="shared" si="10"/>
        <v>329</v>
      </c>
      <c r="D42" s="7">
        <f t="shared" si="10"/>
        <v>11500</v>
      </c>
      <c r="E42" s="5">
        <f t="shared" si="14"/>
        <v>2.194970230160842E-2</v>
      </c>
      <c r="F42" s="7">
        <f t="shared" si="11"/>
        <v>903</v>
      </c>
      <c r="G42" s="7">
        <f t="shared" si="11"/>
        <v>13945</v>
      </c>
      <c r="H42" s="5">
        <f t="shared" si="17"/>
        <v>1.2120772245608924E-2</v>
      </c>
      <c r="I42" s="7">
        <f t="shared" si="15"/>
        <v>-2546</v>
      </c>
      <c r="J42">
        <f t="shared" si="16"/>
        <v>1500</v>
      </c>
      <c r="K42" s="7">
        <f t="shared" si="16"/>
        <v>495</v>
      </c>
      <c r="L42" s="7">
        <f t="shared" si="16"/>
        <v>2084.85</v>
      </c>
      <c r="M42" s="7">
        <f t="shared" si="16"/>
        <v>-461.15000000000009</v>
      </c>
      <c r="O42" s="7">
        <f t="shared" si="13"/>
        <v>225.84999999999991</v>
      </c>
      <c r="P42" s="7"/>
    </row>
    <row r="43" spans="1:17">
      <c r="A43">
        <v>2016</v>
      </c>
      <c r="B43" s="7">
        <f t="shared" si="10"/>
        <v>11067</v>
      </c>
      <c r="C43" s="7">
        <f t="shared" si="10"/>
        <v>329</v>
      </c>
      <c r="D43" s="7">
        <f t="shared" si="10"/>
        <v>11742</v>
      </c>
      <c r="E43" s="5">
        <f t="shared" si="14"/>
        <v>2.1043478260869497E-2</v>
      </c>
      <c r="F43" s="7">
        <f t="shared" si="11"/>
        <v>853</v>
      </c>
      <c r="G43" s="7">
        <f t="shared" si="11"/>
        <v>14163</v>
      </c>
      <c r="H43" s="5">
        <f t="shared" si="17"/>
        <v>1.563284331301551E-2</v>
      </c>
      <c r="I43" s="7">
        <f t="shared" si="15"/>
        <v>-2767</v>
      </c>
      <c r="J43">
        <f t="shared" si="16"/>
        <v>1500</v>
      </c>
      <c r="K43" s="7">
        <f t="shared" si="16"/>
        <v>556</v>
      </c>
      <c r="L43" s="7">
        <f t="shared" si="16"/>
        <v>2153.7799999999997</v>
      </c>
      <c r="M43" s="7">
        <f t="shared" si="16"/>
        <v>-613.22</v>
      </c>
      <c r="O43" s="7">
        <f t="shared" si="13"/>
        <v>73.779999999999973</v>
      </c>
      <c r="P43" s="7"/>
    </row>
    <row r="44" spans="1:17">
      <c r="A44">
        <v>2017</v>
      </c>
      <c r="B44" s="7">
        <f t="shared" si="10"/>
        <v>11083</v>
      </c>
      <c r="C44" s="7">
        <f t="shared" si="10"/>
        <v>329</v>
      </c>
      <c r="D44" s="7">
        <f t="shared" si="10"/>
        <v>11961</v>
      </c>
      <c r="E44" s="5">
        <f t="shared" si="14"/>
        <v>1.8650996423096533E-2</v>
      </c>
      <c r="F44" s="7">
        <f t="shared" si="11"/>
        <v>767</v>
      </c>
      <c r="G44" s="7">
        <f t="shared" si="11"/>
        <v>14310</v>
      </c>
      <c r="H44" s="5">
        <f t="shared" si="17"/>
        <v>1.0379156958271629E-2</v>
      </c>
      <c r="I44" s="7">
        <f t="shared" si="15"/>
        <v>-2898</v>
      </c>
      <c r="J44">
        <f t="shared" si="16"/>
        <v>1400</v>
      </c>
      <c r="K44" s="7">
        <f t="shared" si="16"/>
        <v>620</v>
      </c>
      <c r="L44" s="7">
        <f t="shared" si="16"/>
        <v>2124.3999999999996</v>
      </c>
      <c r="M44" s="7">
        <f t="shared" si="16"/>
        <v>-773.60000000000014</v>
      </c>
      <c r="N44">
        <f t="shared" ref="N44:Q46" si="19">N14</f>
        <v>600</v>
      </c>
      <c r="O44" s="7">
        <f t="shared" si="13"/>
        <v>513.39999999999986</v>
      </c>
      <c r="P44" s="7"/>
      <c r="Q44" t="str">
        <f t="shared" si="19"/>
        <v>Currant Creek 2</v>
      </c>
    </row>
    <row r="45" spans="1:17">
      <c r="A45">
        <v>2018</v>
      </c>
      <c r="B45" s="7">
        <f t="shared" si="10"/>
        <v>11104</v>
      </c>
      <c r="C45" s="7">
        <f t="shared" si="10"/>
        <v>329</v>
      </c>
      <c r="D45" s="7">
        <f t="shared" si="10"/>
        <v>12194</v>
      </c>
      <c r="E45" s="5">
        <f t="shared" si="14"/>
        <v>1.9479976590585979E-2</v>
      </c>
      <c r="F45" s="7">
        <f t="shared" si="11"/>
        <v>767</v>
      </c>
      <c r="G45" s="7">
        <f t="shared" si="11"/>
        <v>14572</v>
      </c>
      <c r="H45" s="5">
        <f t="shared" si="17"/>
        <v>1.8308874912648543E-2</v>
      </c>
      <c r="I45" s="7">
        <f t="shared" si="15"/>
        <v>-3139</v>
      </c>
      <c r="J45">
        <f t="shared" si="16"/>
        <v>1400</v>
      </c>
      <c r="K45" s="7">
        <f t="shared" si="16"/>
        <v>682</v>
      </c>
      <c r="L45" s="7">
        <f t="shared" si="16"/>
        <v>2194.46</v>
      </c>
      <c r="M45" s="7">
        <f t="shared" si="16"/>
        <v>-944.54000000000019</v>
      </c>
      <c r="O45" s="7">
        <f t="shared" si="13"/>
        <v>342.45999999999981</v>
      </c>
      <c r="P45" s="7"/>
    </row>
    <row r="46" spans="1:17">
      <c r="A46">
        <v>2019</v>
      </c>
      <c r="B46" s="7">
        <f t="shared" si="10"/>
        <v>11066</v>
      </c>
      <c r="C46" s="7">
        <f t="shared" si="10"/>
        <v>329</v>
      </c>
      <c r="D46" s="7">
        <f t="shared" si="10"/>
        <v>12378</v>
      </c>
      <c r="E46" s="5">
        <f t="shared" si="14"/>
        <v>1.5089388223716638E-2</v>
      </c>
      <c r="F46" s="7">
        <f t="shared" si="11"/>
        <v>767</v>
      </c>
      <c r="G46" s="7">
        <f t="shared" si="11"/>
        <v>14778</v>
      </c>
      <c r="H46" s="5">
        <f t="shared" si="17"/>
        <v>1.4136700521548251E-2</v>
      </c>
      <c r="I46" s="7">
        <f t="shared" si="15"/>
        <v>-3383</v>
      </c>
      <c r="J46">
        <f t="shared" si="16"/>
        <v>1400</v>
      </c>
      <c r="K46" s="7">
        <f t="shared" si="16"/>
        <v>746</v>
      </c>
      <c r="L46" s="7">
        <f t="shared" si="16"/>
        <v>2266.7799999999997</v>
      </c>
      <c r="M46" s="7">
        <f t="shared" si="16"/>
        <v>-1116.22</v>
      </c>
      <c r="N46">
        <f t="shared" si="19"/>
        <v>500</v>
      </c>
      <c r="O46" s="7">
        <f t="shared" si="13"/>
        <v>670.78</v>
      </c>
      <c r="P46" s="7"/>
      <c r="Q46" t="str">
        <f t="shared" ref="Q46" si="20">Q16</f>
        <v>Addional Resource</v>
      </c>
    </row>
    <row r="47" spans="1:17">
      <c r="A47">
        <v>2020</v>
      </c>
      <c r="B47" s="7">
        <f t="shared" si="10"/>
        <v>10863</v>
      </c>
      <c r="C47" s="7">
        <f t="shared" si="10"/>
        <v>329</v>
      </c>
      <c r="D47" s="7">
        <f t="shared" si="10"/>
        <v>12609</v>
      </c>
      <c r="E47" s="5">
        <f t="shared" si="14"/>
        <v>1.8662142510906365E-2</v>
      </c>
      <c r="F47" s="7">
        <f t="shared" si="11"/>
        <v>767</v>
      </c>
      <c r="G47" s="7">
        <f t="shared" si="11"/>
        <v>15045</v>
      </c>
      <c r="H47" s="5">
        <f t="shared" si="17"/>
        <v>1.8067397482744552E-2</v>
      </c>
      <c r="I47" s="7">
        <f t="shared" si="15"/>
        <v>-3853</v>
      </c>
      <c r="J47">
        <f t="shared" si="16"/>
        <v>1400</v>
      </c>
      <c r="K47" s="7">
        <f t="shared" si="16"/>
        <v>814</v>
      </c>
      <c r="L47" s="7">
        <f t="shared" si="16"/>
        <v>2343.62</v>
      </c>
      <c r="M47" s="7">
        <f t="shared" si="16"/>
        <v>-1509.38</v>
      </c>
      <c r="O47" s="7">
        <f t="shared" si="13"/>
        <v>277.61999999999989</v>
      </c>
      <c r="P47" s="7"/>
    </row>
    <row r="48" spans="1:17">
      <c r="H48" s="5"/>
    </row>
    <row r="49" spans="1:8">
      <c r="A49" t="s">
        <v>8</v>
      </c>
      <c r="E49" s="5">
        <f>RATE((2020-2011),,-D38,D47)</f>
        <v>2.1086903690136244E-2</v>
      </c>
      <c r="H49" s="5">
        <f>RATE((2020-2011),,-G38,G47)</f>
        <v>1.8170827481580845E-2</v>
      </c>
    </row>
    <row r="51" spans="1:8">
      <c r="B51" s="7" t="s">
        <v>15</v>
      </c>
    </row>
    <row r="52" spans="1:8">
      <c r="C52" s="7" t="s">
        <v>16</v>
      </c>
    </row>
    <row r="53" spans="1:8">
      <c r="B53" s="7" t="s">
        <v>17</v>
      </c>
    </row>
    <row r="54" spans="1:8">
      <c r="C54" s="7" t="s">
        <v>18</v>
      </c>
    </row>
    <row r="55" spans="1:8">
      <c r="B55" s="7" t="s">
        <v>21</v>
      </c>
    </row>
    <row r="56" spans="1:8" ht="7.5" customHeight="1"/>
    <row r="57" spans="1:8">
      <c r="B57" s="7" t="s">
        <v>23</v>
      </c>
    </row>
  </sheetData>
  <printOptions horizontalCentered="1"/>
  <pageMargins left="0.7" right="0.7" top="0.33" bottom="0.37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"/>
  <sheetViews>
    <sheetView workbookViewId="0">
      <selection activeCell="B19" sqref="B19"/>
    </sheetView>
  </sheetViews>
  <sheetFormatPr defaultRowHeight="12.75"/>
  <cols>
    <col min="2" max="2" width="11.6640625" style="5" customWidth="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Sheet1</vt:lpstr>
      <vt:lpstr>Sheet1 (2)</vt:lpstr>
      <vt:lpstr>Sheet2</vt:lpstr>
      <vt:lpstr>Sheet3</vt:lpstr>
      <vt:lpstr>Sheet4</vt:lpstr>
      <vt:lpstr>Sheet5</vt:lpstr>
      <vt:lpstr>Sheet1!Print_Area</vt:lpstr>
      <vt:lpstr>'Sheet1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Chpeters</dc:creator>
  <cp:lastModifiedBy>MPaschal</cp:lastModifiedBy>
  <cp:lastPrinted>2011-08-29T21:02:39Z</cp:lastPrinted>
  <dcterms:created xsi:type="dcterms:W3CDTF">2011-08-11T21:50:24Z</dcterms:created>
  <dcterms:modified xsi:type="dcterms:W3CDTF">2011-09-08T17:57:33Z</dcterms:modified>
</cp:coreProperties>
</file>