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70" yWindow="-105" windowWidth="15285" windowHeight="8820" tabRatio="685" activeTab="2"/>
  </bookViews>
  <sheets>
    <sheet name="Exhibit 1" sheetId="5" r:id="rId1"/>
    <sheet name="Exhibit 1 page 3" sheetId="10" r:id="rId2"/>
    <sheet name="Exhibit 2" sheetId="1" r:id="rId3"/>
    <sheet name="Assumptions" sheetId="2" r:id="rId4"/>
  </sheets>
  <definedNames>
    <definedName name="_xlnm.Print_Area" localSheetId="3">Assumptions!$A$1:$R$68</definedName>
    <definedName name="_xlnm.Print_Area" localSheetId="0">'Exhibit 1'!$A$1:$U$150</definedName>
    <definedName name="_xlnm.Print_Area" localSheetId="1">'Exhibit 1 page 3'!$A$1:$I$52</definedName>
    <definedName name="_xlnm.Print_Area" localSheetId="2">'Exhibit 2'!$A$1:$H$259</definedName>
  </definedNames>
  <calcPr calcId="125725" calcMode="manual" iterate="1" iterateCount="1"/>
</workbook>
</file>

<file path=xl/calcChain.xml><?xml version="1.0" encoding="utf-8"?>
<calcChain xmlns="http://schemas.openxmlformats.org/spreadsheetml/2006/main">
  <c r="D36" i="2"/>
  <c r="C48" i="1"/>
  <c r="D48" s="1"/>
  <c r="E48" s="1"/>
  <c r="X13" i="5"/>
  <c r="X12"/>
  <c r="C23" i="1"/>
  <c r="D64" i="2"/>
  <c r="X40" i="5"/>
  <c r="X31"/>
  <c r="X33"/>
  <c r="X32"/>
  <c r="X17"/>
  <c r="X16"/>
  <c r="X15"/>
  <c r="D22" i="2"/>
  <c r="D28"/>
  <c r="D16"/>
  <c r="D18"/>
  <c r="D24"/>
  <c r="D87" i="1"/>
  <c r="G87" s="1"/>
  <c r="C87"/>
  <c r="F87" s="1"/>
  <c r="D27" i="2"/>
  <c r="D23"/>
  <c r="D21"/>
  <c r="D19"/>
  <c r="D17"/>
  <c r="B105" i="1"/>
  <c r="B101"/>
  <c r="B100"/>
  <c r="B96"/>
  <c r="B95"/>
  <c r="B94"/>
  <c r="B93"/>
  <c r="B91"/>
  <c r="B87"/>
  <c r="E87" s="1"/>
  <c r="B86"/>
  <c r="B85"/>
  <c r="B84"/>
  <c r="B83"/>
  <c r="B82"/>
  <c r="B81"/>
  <c r="B80"/>
  <c r="B79"/>
  <c r="A87"/>
  <c r="A130" s="1"/>
  <c r="B74"/>
  <c r="B57"/>
  <c r="B50"/>
  <c r="B49"/>
  <c r="C49" s="1"/>
  <c r="D49" s="1"/>
  <c r="E49" s="1"/>
  <c r="F49" s="1"/>
  <c r="G49" s="1"/>
  <c r="B48"/>
  <c r="B45"/>
  <c r="B44"/>
  <c r="B43"/>
  <c r="B35"/>
  <c r="C35" s="1"/>
  <c r="B34"/>
  <c r="C34" s="1"/>
  <c r="D34" s="1"/>
  <c r="E34" s="1"/>
  <c r="F34" s="1"/>
  <c r="G34" s="1"/>
  <c r="B33"/>
  <c r="B28"/>
  <c r="B24"/>
  <c r="B23"/>
  <c r="B19"/>
  <c r="B18"/>
  <c r="B17"/>
  <c r="B16"/>
  <c r="B14"/>
  <c r="C14" s="1"/>
  <c r="D14" s="1"/>
  <c r="E14" s="1"/>
  <c r="F14" s="1"/>
  <c r="G14" s="1"/>
  <c r="B13"/>
  <c r="B10"/>
  <c r="U99" i="5"/>
  <c r="U96"/>
  <c r="U95"/>
  <c r="U94"/>
  <c r="U93"/>
  <c r="U91"/>
  <c r="U90"/>
  <c r="U89"/>
  <c r="U88"/>
  <c r="U87"/>
  <c r="U86"/>
  <c r="U84"/>
  <c r="U83"/>
  <c r="U81"/>
  <c r="U80"/>
  <c r="U79"/>
  <c r="U78"/>
  <c r="U77"/>
  <c r="U76"/>
  <c r="U75"/>
  <c r="U74"/>
  <c r="U71"/>
  <c r="U69"/>
  <c r="U55"/>
  <c r="U54"/>
  <c r="U48"/>
  <c r="U47"/>
  <c r="U46"/>
  <c r="U45"/>
  <c r="U42"/>
  <c r="U41"/>
  <c r="U40"/>
  <c r="U36"/>
  <c r="U35"/>
  <c r="U34"/>
  <c r="U33"/>
  <c r="U32"/>
  <c r="U31"/>
  <c r="U28"/>
  <c r="U26"/>
  <c r="U24"/>
  <c r="U23"/>
  <c r="U22"/>
  <c r="U21"/>
  <c r="U18"/>
  <c r="U17"/>
  <c r="U16"/>
  <c r="U15"/>
  <c r="U14"/>
  <c r="U13"/>
  <c r="U12"/>
  <c r="J159"/>
  <c r="J144"/>
  <c r="J143"/>
  <c r="J128"/>
  <c r="J127"/>
  <c r="J126"/>
  <c r="J125"/>
  <c r="J124"/>
  <c r="J160"/>
  <c r="J135"/>
  <c r="J134"/>
  <c r="J132"/>
  <c r="J131"/>
  <c r="J121"/>
  <c r="J120"/>
  <c r="J119"/>
  <c r="J115"/>
  <c r="J91"/>
  <c r="J87"/>
  <c r="J86"/>
  <c r="J84"/>
  <c r="J83"/>
  <c r="J82"/>
  <c r="J81"/>
  <c r="J80"/>
  <c r="J79"/>
  <c r="J78"/>
  <c r="J77"/>
  <c r="J76"/>
  <c r="J75"/>
  <c r="J74"/>
  <c r="J71"/>
  <c r="J69"/>
  <c r="J55"/>
  <c r="J53"/>
  <c r="J48"/>
  <c r="J47"/>
  <c r="J46"/>
  <c r="J45"/>
  <c r="J42"/>
  <c r="J41"/>
  <c r="J40"/>
  <c r="J36"/>
  <c r="J35"/>
  <c r="J34"/>
  <c r="J33"/>
  <c r="J32"/>
  <c r="J31"/>
  <c r="J28"/>
  <c r="J26"/>
  <c r="J24"/>
  <c r="J22"/>
  <c r="J21"/>
  <c r="J18"/>
  <c r="J17"/>
  <c r="J16"/>
  <c r="J15"/>
  <c r="J14"/>
  <c r="J13"/>
  <c r="J12"/>
  <c r="D90"/>
  <c r="E90"/>
  <c r="O89"/>
  <c r="P89"/>
  <c r="D81"/>
  <c r="E81"/>
  <c r="E83" s="1"/>
  <c r="Q89"/>
  <c r="I88"/>
  <c r="F81"/>
  <c r="F80"/>
  <c r="G81"/>
  <c r="I81"/>
  <c r="H81"/>
  <c r="H83"/>
  <c r="G83"/>
  <c r="F83"/>
  <c r="D83"/>
  <c r="I83"/>
  <c r="L82"/>
  <c r="G87"/>
  <c r="I14" i="10"/>
  <c r="H88" i="5"/>
  <c r="H79"/>
  <c r="H78"/>
  <c r="I71"/>
  <c r="I80"/>
  <c r="I79"/>
  <c r="I78"/>
  <c r="I75"/>
  <c r="I42"/>
  <c r="I33"/>
  <c r="I32"/>
  <c r="I14"/>
  <c r="I13"/>
  <c r="D159"/>
  <c r="P55"/>
  <c r="B88" i="1" l="1"/>
  <c r="F48"/>
  <c r="G48" s="1"/>
  <c r="D91"/>
  <c r="C91"/>
  <c r="Y69" i="5"/>
  <c r="A234" i="1"/>
  <c r="A233"/>
  <c r="G157" l="1"/>
  <c r="F157"/>
  <c r="E157"/>
  <c r="D157"/>
  <c r="C157"/>
  <c r="A208"/>
  <c r="A207"/>
  <c r="A206"/>
  <c r="A205"/>
  <c r="A204"/>
  <c r="A202"/>
  <c r="A200"/>
  <c r="A199"/>
  <c r="A198"/>
  <c r="A197"/>
  <c r="A196"/>
  <c r="A194"/>
  <c r="A193"/>
  <c r="A192"/>
  <c r="A191"/>
  <c r="A190"/>
  <c r="A189"/>
  <c r="A186"/>
  <c r="A185"/>
  <c r="A184"/>
  <c r="A183"/>
  <c r="A182"/>
  <c r="A181"/>
  <c r="A180"/>
  <c r="A178"/>
  <c r="A176"/>
  <c r="A174"/>
  <c r="A173"/>
  <c r="A172"/>
  <c r="A171"/>
  <c r="A170"/>
  <c r="A168"/>
  <c r="A167"/>
  <c r="A166"/>
  <c r="A165"/>
  <c r="A164"/>
  <c r="A163"/>
  <c r="A162"/>
  <c r="A161"/>
  <c r="A160"/>
  <c r="A158"/>
  <c r="A154" l="1"/>
  <c r="A148"/>
  <c r="A147"/>
  <c r="A145"/>
  <c r="A144"/>
  <c r="A143"/>
  <c r="A142"/>
  <c r="A140"/>
  <c r="A139"/>
  <c r="A138"/>
  <c r="A137"/>
  <c r="A136"/>
  <c r="A135"/>
  <c r="A134"/>
  <c r="A132"/>
  <c r="A131"/>
  <c r="A129"/>
  <c r="A128"/>
  <c r="A127"/>
  <c r="A126"/>
  <c r="A125"/>
  <c r="A124"/>
  <c r="A123"/>
  <c r="A122"/>
  <c r="A121"/>
  <c r="A119"/>
  <c r="A117"/>
  <c r="A116"/>
  <c r="A115"/>
  <c r="B114"/>
  <c r="B157" s="1"/>
  <c r="A6"/>
  <c r="J64" i="2"/>
  <c r="I64"/>
  <c r="H64"/>
  <c r="G64"/>
  <c r="E64"/>
  <c r="F64"/>
  <c r="K64" s="1"/>
  <c r="B74"/>
  <c r="B72"/>
  <c r="B71"/>
  <c r="B70"/>
  <c r="B69"/>
  <c r="B67"/>
  <c r="B66"/>
  <c r="B65"/>
  <c r="B64"/>
  <c r="B63"/>
  <c r="B62"/>
  <c r="B60"/>
  <c r="B59"/>
  <c r="B58"/>
  <c r="B57"/>
  <c r="B56"/>
  <c r="B55"/>
  <c r="B54"/>
  <c r="B52"/>
  <c r="B50"/>
  <c r="B48"/>
  <c r="B47"/>
  <c r="B46"/>
  <c r="B45"/>
  <c r="B44"/>
  <c r="B42"/>
  <c r="B41"/>
  <c r="B40"/>
  <c r="B39"/>
  <c r="B38"/>
  <c r="B37"/>
  <c r="B36"/>
  <c r="B35"/>
  <c r="B27"/>
  <c r="I160" i="5"/>
  <c r="H160"/>
  <c r="G160"/>
  <c r="F160"/>
  <c r="D160"/>
  <c r="E160"/>
  <c r="I159"/>
  <c r="H159"/>
  <c r="G159"/>
  <c r="F159"/>
  <c r="E159"/>
  <c r="B23" i="2" l="1"/>
  <c r="B22"/>
  <c r="B21"/>
  <c r="B20"/>
  <c r="B19"/>
  <c r="B18"/>
  <c r="B17"/>
  <c r="H48" i="1" l="1"/>
  <c r="L89" i="5"/>
  <c r="B30" i="10"/>
  <c r="C30"/>
  <c r="B14"/>
  <c r="C14"/>
  <c r="D13" i="5"/>
  <c r="D21" i="10"/>
  <c r="D14"/>
  <c r="E13" i="5"/>
  <c r="F13"/>
  <c r="E21" i="10"/>
  <c r="E14"/>
  <c r="F14"/>
  <c r="I47"/>
  <c r="G47"/>
  <c r="F47"/>
  <c r="E47"/>
  <c r="H47"/>
  <c r="L13" i="5"/>
  <c r="G13"/>
  <c r="H13"/>
  <c r="I43" i="10"/>
  <c r="F43"/>
  <c r="E43"/>
  <c r="D43"/>
  <c r="C43"/>
  <c r="B43"/>
  <c r="G43"/>
  <c r="H43"/>
  <c r="I36"/>
  <c r="F36"/>
  <c r="E36"/>
  <c r="D36"/>
  <c r="C36"/>
  <c r="B36"/>
  <c r="H33"/>
  <c r="G36"/>
  <c r="H36"/>
  <c r="H75" i="5"/>
  <c r="AB74" s="1"/>
  <c r="H14" i="10"/>
  <c r="G15"/>
  <c r="H15"/>
  <c r="G14"/>
  <c r="E9"/>
  <c r="F9" s="1"/>
  <c r="G9" s="1"/>
  <c r="H9" s="1"/>
  <c r="I9" s="1"/>
  <c r="A3"/>
  <c r="C105" i="1" l="1"/>
  <c r="B97"/>
  <c r="H49"/>
  <c r="C44"/>
  <c r="D44" s="1"/>
  <c r="E44" s="1"/>
  <c r="F44" s="1"/>
  <c r="G44" s="1"/>
  <c r="H44" s="1"/>
  <c r="B77" i="5"/>
  <c r="C77"/>
  <c r="C79"/>
  <c r="B79"/>
  <c r="B78"/>
  <c r="C78"/>
  <c r="C75"/>
  <c r="W74" s="1"/>
  <c r="B75"/>
  <c r="C88"/>
  <c r="C95"/>
  <c r="B95"/>
  <c r="C80"/>
  <c r="N80" s="1"/>
  <c r="B80"/>
  <c r="C42"/>
  <c r="B42"/>
  <c r="B43" s="1"/>
  <c r="C91"/>
  <c r="B91"/>
  <c r="C71"/>
  <c r="N86" s="1"/>
  <c r="B71"/>
  <c r="M88" s="1"/>
  <c r="C55"/>
  <c r="C149" s="1"/>
  <c r="B55"/>
  <c r="B149" s="1"/>
  <c r="C48"/>
  <c r="B48"/>
  <c r="C43"/>
  <c r="M95"/>
  <c r="N94"/>
  <c r="M94"/>
  <c r="N90"/>
  <c r="M90"/>
  <c r="N87"/>
  <c r="N81"/>
  <c r="N79"/>
  <c r="M78"/>
  <c r="N76"/>
  <c r="N74"/>
  <c r="M74"/>
  <c r="N71"/>
  <c r="M71"/>
  <c r="N70"/>
  <c r="M70"/>
  <c r="N69"/>
  <c r="M69"/>
  <c r="B33"/>
  <c r="C33"/>
  <c r="B17"/>
  <c r="C17"/>
  <c r="C16"/>
  <c r="G40" i="2" s="1"/>
  <c r="B16" i="5"/>
  <c r="F40" i="2" s="1"/>
  <c r="B14" i="5"/>
  <c r="C115" s="1"/>
  <c r="C14"/>
  <c r="B12"/>
  <c r="C47" i="10" s="1"/>
  <c r="C12" i="5"/>
  <c r="D47" i="10" s="1"/>
  <c r="B34" i="5"/>
  <c r="C24"/>
  <c r="B24"/>
  <c r="B28" s="1"/>
  <c r="B18" l="1"/>
  <c r="C18"/>
  <c r="C133" s="1"/>
  <c r="N75"/>
  <c r="M80"/>
  <c r="M77"/>
  <c r="W72"/>
  <c r="C83"/>
  <c r="N83" s="1"/>
  <c r="C113"/>
  <c r="C28"/>
  <c r="C120" s="1"/>
  <c r="C34"/>
  <c r="M76"/>
  <c r="N78"/>
  <c r="M81"/>
  <c r="M86"/>
  <c r="M87"/>
  <c r="N91"/>
  <c r="N95"/>
  <c r="N88"/>
  <c r="M79"/>
  <c r="N77"/>
  <c r="C131"/>
  <c r="C132"/>
  <c r="B113"/>
  <c r="B114"/>
  <c r="C119"/>
  <c r="C143"/>
  <c r="C144"/>
  <c r="C147"/>
  <c r="C148"/>
  <c r="C114"/>
  <c r="B119"/>
  <c r="B120"/>
  <c r="B143"/>
  <c r="B144"/>
  <c r="B147"/>
  <c r="B148"/>
  <c r="B83"/>
  <c r="M83" s="1"/>
  <c r="M75"/>
  <c r="M91"/>
  <c r="C84"/>
  <c r="B84"/>
  <c r="C50"/>
  <c r="B50"/>
  <c r="B118" s="1"/>
  <c r="C56"/>
  <c r="B36"/>
  <c r="C36"/>
  <c r="N17" s="1"/>
  <c r="B35"/>
  <c r="M35" s="1"/>
  <c r="C35"/>
  <c r="N35" s="1"/>
  <c r="E16"/>
  <c r="F16"/>
  <c r="D16"/>
  <c r="D79"/>
  <c r="D78"/>
  <c r="D75"/>
  <c r="X74" s="1"/>
  <c r="E79"/>
  <c r="F79"/>
  <c r="F78"/>
  <c r="E78"/>
  <c r="E75"/>
  <c r="Y74" s="1"/>
  <c r="F75"/>
  <c r="Z74" s="1"/>
  <c r="L79"/>
  <c r="L78"/>
  <c r="L77"/>
  <c r="L76"/>
  <c r="L75"/>
  <c r="G79"/>
  <c r="G78"/>
  <c r="G75"/>
  <c r="AA74" s="1"/>
  <c r="H16"/>
  <c r="G16"/>
  <c r="L15"/>
  <c r="H80"/>
  <c r="H42"/>
  <c r="H17"/>
  <c r="H33"/>
  <c r="H14"/>
  <c r="H32"/>
  <c r="H24"/>
  <c r="H28" s="1"/>
  <c r="D45" i="2"/>
  <c r="J65" i="5"/>
  <c r="H71"/>
  <c r="H131" s="1"/>
  <c r="H55"/>
  <c r="H48"/>
  <c r="H43"/>
  <c r="H114" s="1"/>
  <c r="H34"/>
  <c r="A214" i="1"/>
  <c r="A68"/>
  <c r="H64"/>
  <c r="H108" s="1"/>
  <c r="H151" s="1"/>
  <c r="H212" s="1"/>
  <c r="A4"/>
  <c r="B52"/>
  <c r="B26"/>
  <c r="J18" i="2"/>
  <c r="K18" s="1"/>
  <c r="L18" s="1"/>
  <c r="Y90" i="5"/>
  <c r="D42"/>
  <c r="D80"/>
  <c r="I19" i="2" s="1"/>
  <c r="D33" i="5"/>
  <c r="D17"/>
  <c r="D14"/>
  <c r="E80"/>
  <c r="J19" i="2" s="1"/>
  <c r="E42" i="5"/>
  <c r="E43" s="1"/>
  <c r="E114" s="1"/>
  <c r="F42"/>
  <c r="E33"/>
  <c r="F33"/>
  <c r="E32"/>
  <c r="F17"/>
  <c r="E17"/>
  <c r="E14"/>
  <c r="F14"/>
  <c r="L83"/>
  <c r="G80"/>
  <c r="G42"/>
  <c r="G33"/>
  <c r="G32"/>
  <c r="G17"/>
  <c r="G14"/>
  <c r="U8"/>
  <c r="E9"/>
  <c r="F9" s="1"/>
  <c r="G9" s="1"/>
  <c r="H9" s="1"/>
  <c r="L30"/>
  <c r="L14"/>
  <c r="L16"/>
  <c r="L17"/>
  <c r="L18"/>
  <c r="L12"/>
  <c r="L11"/>
  <c r="U1"/>
  <c r="J59" s="1"/>
  <c r="U59" s="1"/>
  <c r="J102" s="1"/>
  <c r="F71"/>
  <c r="Q77" s="1"/>
  <c r="F91"/>
  <c r="G71"/>
  <c r="AD56"/>
  <c r="AE56"/>
  <c r="AD53"/>
  <c r="AE53"/>
  <c r="AC53"/>
  <c r="E71"/>
  <c r="P81" s="1"/>
  <c r="E91"/>
  <c r="AC56"/>
  <c r="F24"/>
  <c r="F34"/>
  <c r="T79"/>
  <c r="I91"/>
  <c r="Z46"/>
  <c r="AA46"/>
  <c r="AB46"/>
  <c r="D71"/>
  <c r="D1" i="2"/>
  <c r="A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D8"/>
  <c r="B24"/>
  <c r="B25"/>
  <c r="B26"/>
  <c r="B28"/>
  <c r="B29"/>
  <c r="B32"/>
  <c r="B33"/>
  <c r="A3" i="5"/>
  <c r="L3" s="1"/>
  <c r="G18"/>
  <c r="E24"/>
  <c r="E28" s="1"/>
  <c r="G24"/>
  <c r="I24"/>
  <c r="Z26"/>
  <c r="I34"/>
  <c r="E34"/>
  <c r="L41"/>
  <c r="I43"/>
  <c r="G43"/>
  <c r="F48"/>
  <c r="I48"/>
  <c r="G48"/>
  <c r="G55"/>
  <c r="AB99" s="1"/>
  <c r="E55"/>
  <c r="E148" s="1"/>
  <c r="I55"/>
  <c r="O9"/>
  <c r="L21"/>
  <c r="L22"/>
  <c r="L23"/>
  <c r="L24"/>
  <c r="L26"/>
  <c r="L28"/>
  <c r="L31"/>
  <c r="L32"/>
  <c r="L33"/>
  <c r="L39"/>
  <c r="L40"/>
  <c r="L42"/>
  <c r="L45"/>
  <c r="L46"/>
  <c r="L47"/>
  <c r="L48"/>
  <c r="L50"/>
  <c r="L52"/>
  <c r="L53"/>
  <c r="L54"/>
  <c r="L55"/>
  <c r="L56"/>
  <c r="A63"/>
  <c r="D67"/>
  <c r="B16" i="2"/>
  <c r="AA75" i="5"/>
  <c r="Y86"/>
  <c r="AA86"/>
  <c r="Y88"/>
  <c r="D91"/>
  <c r="O91" s="1"/>
  <c r="U66"/>
  <c r="L69"/>
  <c r="O69"/>
  <c r="Q69"/>
  <c r="L71"/>
  <c r="Q71"/>
  <c r="T74"/>
  <c r="L80"/>
  <c r="Q80"/>
  <c r="L81"/>
  <c r="L86"/>
  <c r="O86"/>
  <c r="P86"/>
  <c r="R86"/>
  <c r="T86"/>
  <c r="L87"/>
  <c r="O87"/>
  <c r="Q87"/>
  <c r="T87"/>
  <c r="L88"/>
  <c r="O88"/>
  <c r="P88"/>
  <c r="R88"/>
  <c r="L90"/>
  <c r="O90"/>
  <c r="L91"/>
  <c r="L93"/>
  <c r="L94"/>
  <c r="O94"/>
  <c r="P94"/>
  <c r="R94"/>
  <c r="T94"/>
  <c r="L95"/>
  <c r="O95"/>
  <c r="P95"/>
  <c r="T95"/>
  <c r="L96"/>
  <c r="L98"/>
  <c r="L99"/>
  <c r="A104"/>
  <c r="A106"/>
  <c r="J109"/>
  <c r="G114"/>
  <c r="F115"/>
  <c r="G115"/>
  <c r="I115"/>
  <c r="F131"/>
  <c r="G131"/>
  <c r="F132"/>
  <c r="G132"/>
  <c r="E143"/>
  <c r="G143"/>
  <c r="E144"/>
  <c r="G144"/>
  <c r="E147"/>
  <c r="G147"/>
  <c r="I147"/>
  <c r="G148"/>
  <c r="G149"/>
  <c r="I149"/>
  <c r="I119"/>
  <c r="P90"/>
  <c r="T80"/>
  <c r="L74"/>
  <c r="T71"/>
  <c r="O71"/>
  <c r="Q90"/>
  <c r="Z86"/>
  <c r="F55"/>
  <c r="F147" s="1"/>
  <c r="D55"/>
  <c r="D143" s="1"/>
  <c r="G50"/>
  <c r="D34"/>
  <c r="Y26"/>
  <c r="AA26" s="1"/>
  <c r="D24"/>
  <c r="Y97"/>
  <c r="D84"/>
  <c r="D93" s="1"/>
  <c r="Y41"/>
  <c r="Z41"/>
  <c r="AA41"/>
  <c r="R95"/>
  <c r="Q94"/>
  <c r="R90"/>
  <c r="Q88"/>
  <c r="R87"/>
  <c r="Q86"/>
  <c r="R80"/>
  <c r="P80"/>
  <c r="R74"/>
  <c r="R71"/>
  <c r="P71"/>
  <c r="D48"/>
  <c r="AB14"/>
  <c r="I28"/>
  <c r="I120" s="1"/>
  <c r="Y46"/>
  <c r="Z14"/>
  <c r="E48"/>
  <c r="AA40"/>
  <c r="AC14"/>
  <c r="D43"/>
  <c r="Q95"/>
  <c r="T90"/>
  <c r="Z40"/>
  <c r="F43"/>
  <c r="F50" s="1"/>
  <c r="AA14"/>
  <c r="Y14"/>
  <c r="AE46"/>
  <c r="A61"/>
  <c r="E131"/>
  <c r="E132"/>
  <c r="P74"/>
  <c r="E115"/>
  <c r="G113"/>
  <c r="T83"/>
  <c r="E67"/>
  <c r="F67" s="1"/>
  <c r="Q67" s="1"/>
  <c r="T91"/>
  <c r="G119"/>
  <c r="P91"/>
  <c r="F35"/>
  <c r="Q91"/>
  <c r="O81"/>
  <c r="Q81"/>
  <c r="I18"/>
  <c r="B46" i="1"/>
  <c r="C50"/>
  <c r="D50" s="1"/>
  <c r="E50" s="1"/>
  <c r="F50" s="1"/>
  <c r="B76"/>
  <c r="I114" i="5" l="1"/>
  <c r="J43"/>
  <c r="U43"/>
  <c r="I132"/>
  <c r="T88"/>
  <c r="T69"/>
  <c r="I113"/>
  <c r="F110"/>
  <c r="Z70"/>
  <c r="D96"/>
  <c r="D97" s="1"/>
  <c r="D121"/>
  <c r="G28"/>
  <c r="D35" i="1"/>
  <c r="E35" s="1"/>
  <c r="F35" s="1"/>
  <c r="G35" s="1"/>
  <c r="H35" s="1"/>
  <c r="B36"/>
  <c r="AC74" i="5"/>
  <c r="AD74" s="1"/>
  <c r="D115"/>
  <c r="AC96"/>
  <c r="K40" i="2"/>
  <c r="J40"/>
  <c r="D131" i="5"/>
  <c r="H67"/>
  <c r="H110" s="1"/>
  <c r="L40" i="2"/>
  <c r="B20" i="1"/>
  <c r="B131"/>
  <c r="H40" i="2"/>
  <c r="I40"/>
  <c r="N50" i="5"/>
  <c r="A27" i="2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B30" i="1"/>
  <c r="B135"/>
  <c r="B119"/>
  <c r="B123"/>
  <c r="B127"/>
  <c r="B136"/>
  <c r="B143"/>
  <c r="B124"/>
  <c r="B128"/>
  <c r="B137"/>
  <c r="B144"/>
  <c r="B117"/>
  <c r="B125"/>
  <c r="B129"/>
  <c r="B138"/>
  <c r="B122"/>
  <c r="B126"/>
  <c r="B134"/>
  <c r="B139"/>
  <c r="B140"/>
  <c r="A110"/>
  <c r="A153" s="1"/>
  <c r="F144" i="5"/>
  <c r="F149"/>
  <c r="F119"/>
  <c r="F148"/>
  <c r="F120"/>
  <c r="E119"/>
  <c r="E149"/>
  <c r="J149" s="1"/>
  <c r="G50" i="1"/>
  <c r="H50" s="1"/>
  <c r="A66"/>
  <c r="D11" i="10"/>
  <c r="D26" s="1"/>
  <c r="D45" s="1"/>
  <c r="D49" s="1"/>
  <c r="D127" i="5"/>
  <c r="O67"/>
  <c r="C67"/>
  <c r="B67" s="1"/>
  <c r="R81"/>
  <c r="R89"/>
  <c r="S95"/>
  <c r="S89"/>
  <c r="M13"/>
  <c r="C135"/>
  <c r="M55"/>
  <c r="M54"/>
  <c r="M40"/>
  <c r="M39"/>
  <c r="M33"/>
  <c r="M22"/>
  <c r="M15"/>
  <c r="M12"/>
  <c r="M47"/>
  <c r="M46"/>
  <c r="M45"/>
  <c r="M41"/>
  <c r="M36"/>
  <c r="M32"/>
  <c r="M31"/>
  <c r="M26"/>
  <c r="M23"/>
  <c r="M21"/>
  <c r="M17"/>
  <c r="M14"/>
  <c r="N56"/>
  <c r="C58"/>
  <c r="M84"/>
  <c r="B124"/>
  <c r="M28"/>
  <c r="C118"/>
  <c r="N18"/>
  <c r="N12"/>
  <c r="N28"/>
  <c r="N24"/>
  <c r="C134"/>
  <c r="P9"/>
  <c r="Q9" s="1"/>
  <c r="R9" s="1"/>
  <c r="S9" s="1"/>
  <c r="S67" s="1"/>
  <c r="AB70" s="1"/>
  <c r="N9"/>
  <c r="D132"/>
  <c r="N13"/>
  <c r="N46"/>
  <c r="N43"/>
  <c r="N55"/>
  <c r="N54"/>
  <c r="N48"/>
  <c r="N41"/>
  <c r="N40"/>
  <c r="N39"/>
  <c r="N36"/>
  <c r="N32"/>
  <c r="N31"/>
  <c r="N26"/>
  <c r="N23"/>
  <c r="N22"/>
  <c r="N21"/>
  <c r="N15"/>
  <c r="N47"/>
  <c r="N45"/>
  <c r="N84"/>
  <c r="C124"/>
  <c r="M48"/>
  <c r="M50"/>
  <c r="M42"/>
  <c r="M43"/>
  <c r="M24"/>
  <c r="N42"/>
  <c r="N14"/>
  <c r="N34"/>
  <c r="N16"/>
  <c r="M34"/>
  <c r="N33"/>
  <c r="M16"/>
  <c r="M18"/>
  <c r="C93"/>
  <c r="C121" s="1"/>
  <c r="B93"/>
  <c r="B121" s="1"/>
  <c r="C96"/>
  <c r="B56"/>
  <c r="AA99"/>
  <c r="F56"/>
  <c r="I144"/>
  <c r="Z99"/>
  <c r="D149"/>
  <c r="G56"/>
  <c r="D20" i="2"/>
  <c r="D26"/>
  <c r="T9" i="5"/>
  <c r="T67" s="1"/>
  <c r="AC70" s="1"/>
  <c r="D124"/>
  <c r="D25" i="2"/>
  <c r="I9" i="5"/>
  <c r="I67" s="1"/>
  <c r="I110" s="1"/>
  <c r="I50"/>
  <c r="I148"/>
  <c r="I143"/>
  <c r="I134"/>
  <c r="I36"/>
  <c r="I35"/>
  <c r="G120"/>
  <c r="O93"/>
  <c r="G134"/>
  <c r="E35"/>
  <c r="E120"/>
  <c r="S79"/>
  <c r="R78"/>
  <c r="S78"/>
  <c r="Q75"/>
  <c r="P78"/>
  <c r="Q79"/>
  <c r="G67"/>
  <c r="R67" s="1"/>
  <c r="P67"/>
  <c r="Y99"/>
  <c r="D28"/>
  <c r="D134" s="1"/>
  <c r="D18"/>
  <c r="D133" s="1"/>
  <c r="S75"/>
  <c r="R75"/>
  <c r="AA72" s="1"/>
  <c r="AA71" s="1"/>
  <c r="R79"/>
  <c r="P75"/>
  <c r="Y72" s="1"/>
  <c r="Y71" s="1"/>
  <c r="Q78"/>
  <c r="P79"/>
  <c r="O75"/>
  <c r="O76"/>
  <c r="Q76"/>
  <c r="S76"/>
  <c r="O77"/>
  <c r="S77"/>
  <c r="O78"/>
  <c r="O79"/>
  <c r="E50"/>
  <c r="E56" s="1"/>
  <c r="P56" s="1"/>
  <c r="O74"/>
  <c r="X72" s="1"/>
  <c r="X71" s="1"/>
  <c r="T75"/>
  <c r="AC72" s="1"/>
  <c r="AC71" s="1"/>
  <c r="P76"/>
  <c r="R76"/>
  <c r="T76"/>
  <c r="P77"/>
  <c r="R77"/>
  <c r="T77"/>
  <c r="T78"/>
  <c r="I133"/>
  <c r="O84"/>
  <c r="O83"/>
  <c r="O80"/>
  <c r="R69"/>
  <c r="P69"/>
  <c r="L61"/>
  <c r="P87"/>
  <c r="Q74"/>
  <c r="Z72" s="1"/>
  <c r="AB41"/>
  <c r="AC41" s="1"/>
  <c r="G34"/>
  <c r="G91"/>
  <c r="F18"/>
  <c r="G133" s="1"/>
  <c r="Q83"/>
  <c r="E84"/>
  <c r="O96"/>
  <c r="F118"/>
  <c r="F114"/>
  <c r="D119"/>
  <c r="D144"/>
  <c r="I131"/>
  <c r="H18"/>
  <c r="H91"/>
  <c r="H132"/>
  <c r="B241" i="1" s="1"/>
  <c r="S80" i="5"/>
  <c r="X80" s="1"/>
  <c r="S86"/>
  <c r="X86" s="1"/>
  <c r="S88"/>
  <c r="S94"/>
  <c r="D12" i="2"/>
  <c r="C74" i="1" s="1"/>
  <c r="C96" s="1"/>
  <c r="H115" i="5"/>
  <c r="B224" i="1" s="1"/>
  <c r="S69" i="5"/>
  <c r="S71"/>
  <c r="S74"/>
  <c r="AB72" s="1"/>
  <c r="S81"/>
  <c r="S87"/>
  <c r="S90"/>
  <c r="H50"/>
  <c r="H118" s="1"/>
  <c r="H119"/>
  <c r="H144"/>
  <c r="H148"/>
  <c r="H143"/>
  <c r="H147"/>
  <c r="J147" s="1"/>
  <c r="H149"/>
  <c r="H120"/>
  <c r="H134"/>
  <c r="H35"/>
  <c r="T81"/>
  <c r="T45"/>
  <c r="D113"/>
  <c r="D114"/>
  <c r="D50"/>
  <c r="D56" s="1"/>
  <c r="T36"/>
  <c r="I84"/>
  <c r="I124" s="1"/>
  <c r="Z97"/>
  <c r="AA97" s="1"/>
  <c r="F143"/>
  <c r="G118"/>
  <c r="E18"/>
  <c r="K19" i="2"/>
  <c r="D148" i="5"/>
  <c r="L19" i="2"/>
  <c r="D147" i="5"/>
  <c r="C76" i="1" l="1"/>
  <c r="C13" s="1"/>
  <c r="C82"/>
  <c r="C79"/>
  <c r="C86"/>
  <c r="C83"/>
  <c r="J148" i="5"/>
  <c r="B258" i="1"/>
  <c r="J114" i="5"/>
  <c r="I118"/>
  <c r="B54" i="1"/>
  <c r="U50" i="5"/>
  <c r="J50"/>
  <c r="T41"/>
  <c r="T24"/>
  <c r="T26"/>
  <c r="T21"/>
  <c r="T23"/>
  <c r="T18"/>
  <c r="T14"/>
  <c r="T40"/>
  <c r="T32"/>
  <c r="T22"/>
  <c r="T31"/>
  <c r="T47"/>
  <c r="T55"/>
  <c r="T46"/>
  <c r="X46" s="1"/>
  <c r="D70" i="2" s="1"/>
  <c r="M40"/>
  <c r="AB66" i="5"/>
  <c r="AB71"/>
  <c r="E110"/>
  <c r="Y70"/>
  <c r="D110"/>
  <c r="C110" s="1"/>
  <c r="B110" s="1"/>
  <c r="X70"/>
  <c r="B240" i="1"/>
  <c r="G110" i="5"/>
  <c r="AA70"/>
  <c r="H133"/>
  <c r="Z71"/>
  <c r="B37" i="1"/>
  <c r="C95"/>
  <c r="C143"/>
  <c r="C119"/>
  <c r="H56" i="5"/>
  <c r="S56" s="1"/>
  <c r="C94" i="1"/>
  <c r="B253"/>
  <c r="T15" i="5"/>
  <c r="T13"/>
  <c r="M56"/>
  <c r="B58"/>
  <c r="C11" i="10"/>
  <c r="C26" s="1"/>
  <c r="C45" s="1"/>
  <c r="C49" s="1"/>
  <c r="C126" i="5"/>
  <c r="C127"/>
  <c r="C125"/>
  <c r="N67"/>
  <c r="W70" s="1"/>
  <c r="M9"/>
  <c r="M67" s="1"/>
  <c r="B228" i="1"/>
  <c r="N93" i="5"/>
  <c r="H36"/>
  <c r="S13" s="1"/>
  <c r="H113"/>
  <c r="M93"/>
  <c r="B96"/>
  <c r="N99"/>
  <c r="N98"/>
  <c r="N96"/>
  <c r="D36"/>
  <c r="I56"/>
  <c r="S15"/>
  <c r="D125"/>
  <c r="T43"/>
  <c r="T33"/>
  <c r="T42"/>
  <c r="T48"/>
  <c r="T16"/>
  <c r="T12"/>
  <c r="T35"/>
  <c r="T28"/>
  <c r="T34"/>
  <c r="T17"/>
  <c r="T50"/>
  <c r="T54"/>
  <c r="P83"/>
  <c r="E134"/>
  <c r="F134"/>
  <c r="D35"/>
  <c r="D120"/>
  <c r="B229" i="1" s="1"/>
  <c r="S91" i="5"/>
  <c r="F36"/>
  <c r="E118"/>
  <c r="F84"/>
  <c r="F124" s="1"/>
  <c r="G35"/>
  <c r="G36"/>
  <c r="O99"/>
  <c r="O40"/>
  <c r="O36"/>
  <c r="F113"/>
  <c r="R91"/>
  <c r="G135"/>
  <c r="E124"/>
  <c r="E93"/>
  <c r="P84"/>
  <c r="S35"/>
  <c r="B252" i="1"/>
  <c r="B257"/>
  <c r="H84" i="5"/>
  <c r="S84" s="1"/>
  <c r="S83"/>
  <c r="M19" i="2"/>
  <c r="B59" i="1"/>
  <c r="G84" i="5"/>
  <c r="G124" s="1"/>
  <c r="R83"/>
  <c r="F93"/>
  <c r="O50"/>
  <c r="D118"/>
  <c r="E36"/>
  <c r="E58" s="1"/>
  <c r="E113"/>
  <c r="J113" s="1"/>
  <c r="F133"/>
  <c r="T84"/>
  <c r="I93"/>
  <c r="B72" i="1"/>
  <c r="B115" s="1"/>
  <c r="B158" s="1"/>
  <c r="C10"/>
  <c r="E133" i="5"/>
  <c r="C139" i="1" l="1"/>
  <c r="C80"/>
  <c r="C88" s="1"/>
  <c r="C81"/>
  <c r="D74"/>
  <c r="D96" s="1"/>
  <c r="C134"/>
  <c r="C117"/>
  <c r="C85"/>
  <c r="C28" s="1"/>
  <c r="C93"/>
  <c r="C84"/>
  <c r="C127" s="1"/>
  <c r="J133" i="5"/>
  <c r="J118"/>
  <c r="B227" i="1" s="1"/>
  <c r="I58" i="5"/>
  <c r="J56"/>
  <c r="U56"/>
  <c r="D39" i="2"/>
  <c r="B256" i="1"/>
  <c r="R13" i="5"/>
  <c r="R24"/>
  <c r="B223" i="1"/>
  <c r="B60"/>
  <c r="B38"/>
  <c r="B202" s="1"/>
  <c r="C124"/>
  <c r="C122"/>
  <c r="C128"/>
  <c r="C125"/>
  <c r="C129"/>
  <c r="C138"/>
  <c r="C123"/>
  <c r="C126"/>
  <c r="C137"/>
  <c r="C136"/>
  <c r="G91"/>
  <c r="O18" i="5"/>
  <c r="O13"/>
  <c r="G58"/>
  <c r="P15"/>
  <c r="P13"/>
  <c r="Q48"/>
  <c r="Q12"/>
  <c r="Q13"/>
  <c r="B11" i="10"/>
  <c r="B26" s="1"/>
  <c r="B45" s="1"/>
  <c r="B49" s="1"/>
  <c r="B125" i="5"/>
  <c r="F58"/>
  <c r="H58"/>
  <c r="D58"/>
  <c r="O23"/>
  <c r="O32"/>
  <c r="O42"/>
  <c r="O26"/>
  <c r="O24"/>
  <c r="O46"/>
  <c r="O28"/>
  <c r="O33"/>
  <c r="O34"/>
  <c r="O15"/>
  <c r="O43"/>
  <c r="O21"/>
  <c r="O48"/>
  <c r="O45"/>
  <c r="O47"/>
  <c r="O22"/>
  <c r="O14"/>
  <c r="O31"/>
  <c r="O54"/>
  <c r="O41"/>
  <c r="O16"/>
  <c r="O17"/>
  <c r="O55"/>
  <c r="O12"/>
  <c r="D126"/>
  <c r="D135"/>
  <c r="S21"/>
  <c r="S33"/>
  <c r="S45"/>
  <c r="S18"/>
  <c r="S32"/>
  <c r="D56" i="2" s="1"/>
  <c r="S41" i="5"/>
  <c r="X41" s="1"/>
  <c r="S54"/>
  <c r="S17"/>
  <c r="S23"/>
  <c r="S31"/>
  <c r="S42"/>
  <c r="S47"/>
  <c r="X47" s="1"/>
  <c r="D71" i="2" s="1"/>
  <c r="S55" i="5"/>
  <c r="S16"/>
  <c r="S22"/>
  <c r="S28"/>
  <c r="S34"/>
  <c r="S40"/>
  <c r="S43"/>
  <c r="S48"/>
  <c r="S14"/>
  <c r="S26"/>
  <c r="S50"/>
  <c r="S12"/>
  <c r="S24"/>
  <c r="S36"/>
  <c r="S46"/>
  <c r="M98"/>
  <c r="M99"/>
  <c r="M96"/>
  <c r="B243" i="1"/>
  <c r="R34" i="5"/>
  <c r="R15"/>
  <c r="X14"/>
  <c r="D41" i="2"/>
  <c r="Q56" i="5"/>
  <c r="Q15"/>
  <c r="O35"/>
  <c r="T56"/>
  <c r="B222" i="1"/>
  <c r="Q50" i="5"/>
  <c r="Q17"/>
  <c r="Q32"/>
  <c r="Q35"/>
  <c r="Q34"/>
  <c r="Q22"/>
  <c r="Q46"/>
  <c r="Q16"/>
  <c r="Q41"/>
  <c r="Q14"/>
  <c r="Q42"/>
  <c r="P18"/>
  <c r="Q47"/>
  <c r="Q31"/>
  <c r="Q54"/>
  <c r="Q26"/>
  <c r="Q28"/>
  <c r="Q33"/>
  <c r="Q18"/>
  <c r="Q21"/>
  <c r="Q45"/>
  <c r="Q36"/>
  <c r="Q55"/>
  <c r="Q43"/>
  <c r="Q23"/>
  <c r="Q40"/>
  <c r="Q24"/>
  <c r="Q84"/>
  <c r="R45"/>
  <c r="R23"/>
  <c r="R26"/>
  <c r="R48"/>
  <c r="R33"/>
  <c r="R42"/>
  <c r="I135"/>
  <c r="R47"/>
  <c r="H135"/>
  <c r="R31"/>
  <c r="R55"/>
  <c r="R43"/>
  <c r="R22"/>
  <c r="R41"/>
  <c r="R46"/>
  <c r="R21"/>
  <c r="R17"/>
  <c r="R12"/>
  <c r="R56"/>
  <c r="R28"/>
  <c r="R18"/>
  <c r="R14"/>
  <c r="R36"/>
  <c r="R16"/>
  <c r="D40" i="2" s="1"/>
  <c r="R40" i="5"/>
  <c r="R54"/>
  <c r="R32"/>
  <c r="R50"/>
  <c r="R35"/>
  <c r="F91" i="1"/>
  <c r="P93" i="5"/>
  <c r="E121"/>
  <c r="E96"/>
  <c r="E97" s="1"/>
  <c r="AD96"/>
  <c r="E91" i="1"/>
  <c r="H93" i="5"/>
  <c r="S93" s="1"/>
  <c r="H124"/>
  <c r="B233" i="1" s="1"/>
  <c r="T93" i="5"/>
  <c r="I121"/>
  <c r="I96"/>
  <c r="I97" s="1"/>
  <c r="P42"/>
  <c r="P36"/>
  <c r="P22"/>
  <c r="P34"/>
  <c r="P26"/>
  <c r="P47"/>
  <c r="P41"/>
  <c r="P31"/>
  <c r="P43"/>
  <c r="P21"/>
  <c r="P23"/>
  <c r="P46"/>
  <c r="F135"/>
  <c r="E135"/>
  <c r="P28"/>
  <c r="P17"/>
  <c r="P14"/>
  <c r="P16"/>
  <c r="P40"/>
  <c r="P33"/>
  <c r="P54"/>
  <c r="P45"/>
  <c r="P48"/>
  <c r="P32"/>
  <c r="P24"/>
  <c r="P35"/>
  <c r="P50"/>
  <c r="P12"/>
  <c r="F121"/>
  <c r="Y95"/>
  <c r="F96"/>
  <c r="F97" s="1"/>
  <c r="Q93"/>
  <c r="AE96"/>
  <c r="R84"/>
  <c r="G93"/>
  <c r="C72" i="1"/>
  <c r="C115"/>
  <c r="C158" s="1"/>
  <c r="D10"/>
  <c r="C219"/>
  <c r="B89"/>
  <c r="O56" i="5"/>
  <c r="D139" i="1" l="1"/>
  <c r="D95"/>
  <c r="D138" s="1"/>
  <c r="D117"/>
  <c r="D76"/>
  <c r="D13"/>
  <c r="E74"/>
  <c r="E96" s="1"/>
  <c r="X26" i="5"/>
  <c r="D50" i="2" s="1"/>
  <c r="X21" i="5"/>
  <c r="E126"/>
  <c r="E127"/>
  <c r="D57" i="2"/>
  <c r="X42" i="5"/>
  <c r="X22"/>
  <c r="D55" i="2"/>
  <c r="B242" i="1"/>
  <c r="B199"/>
  <c r="B173"/>
  <c r="B163"/>
  <c r="B186"/>
  <c r="B166"/>
  <c r="B176"/>
  <c r="B191"/>
  <c r="B197"/>
  <c r="B161"/>
  <c r="B165"/>
  <c r="B172"/>
  <c r="B183"/>
  <c r="B196"/>
  <c r="B164"/>
  <c r="B171"/>
  <c r="B182"/>
  <c r="B193"/>
  <c r="B205"/>
  <c r="B162"/>
  <c r="B167"/>
  <c r="B181"/>
  <c r="B192"/>
  <c r="B198"/>
  <c r="B184"/>
  <c r="B168"/>
  <c r="B174"/>
  <c r="B190"/>
  <c r="B200"/>
  <c r="B194"/>
  <c r="B178"/>
  <c r="B61"/>
  <c r="B208"/>
  <c r="B185"/>
  <c r="B207"/>
  <c r="C131"/>
  <c r="B99"/>
  <c r="B142" s="1"/>
  <c r="B132"/>
  <c r="H91"/>
  <c r="E95"/>
  <c r="F125" i="5"/>
  <c r="F11" i="10"/>
  <c r="F26" s="1"/>
  <c r="F45" s="1"/>
  <c r="F49" s="1"/>
  <c r="Q99" i="5"/>
  <c r="F127"/>
  <c r="I11" i="10"/>
  <c r="I26" s="1"/>
  <c r="I127" i="5"/>
  <c r="E11" i="10"/>
  <c r="E26" s="1"/>
  <c r="E45" s="1"/>
  <c r="E49" s="1"/>
  <c r="B244" i="1"/>
  <c r="I125" i="5"/>
  <c r="H96"/>
  <c r="S99" s="1"/>
  <c r="E125"/>
  <c r="P99"/>
  <c r="P96"/>
  <c r="AC55"/>
  <c r="AC57" s="1"/>
  <c r="Y96"/>
  <c r="H121"/>
  <c r="E10" i="1"/>
  <c r="D115"/>
  <c r="D158" s="1"/>
  <c r="D219"/>
  <c r="D72"/>
  <c r="C89"/>
  <c r="C233" s="1"/>
  <c r="G96" i="5"/>
  <c r="G121"/>
  <c r="R93"/>
  <c r="AF96"/>
  <c r="AG96" s="1"/>
  <c r="T96"/>
  <c r="I126"/>
  <c r="T99"/>
  <c r="I128"/>
  <c r="F126"/>
  <c r="Q96"/>
  <c r="Z96"/>
  <c r="AA96" s="1"/>
  <c r="AD55"/>
  <c r="AD57" s="1"/>
  <c r="F128"/>
  <c r="D119" i="1" l="1"/>
  <c r="D86"/>
  <c r="D129" s="1"/>
  <c r="D83"/>
  <c r="D126" s="1"/>
  <c r="D94"/>
  <c r="D137" s="1"/>
  <c r="D134"/>
  <c r="D143"/>
  <c r="D80"/>
  <c r="D123" s="1"/>
  <c r="D85"/>
  <c r="D82"/>
  <c r="D125" s="1"/>
  <c r="D93"/>
  <c r="D136" s="1"/>
  <c r="D81"/>
  <c r="D124" s="1"/>
  <c r="D84"/>
  <c r="D127" s="1"/>
  <c r="D79"/>
  <c r="E76"/>
  <c r="E13" s="1"/>
  <c r="E81"/>
  <c r="I45" i="10"/>
  <c r="I49" s="1"/>
  <c r="S96" i="5"/>
  <c r="B230" i="1"/>
  <c r="D46" i="2"/>
  <c r="X24" i="5"/>
  <c r="X34"/>
  <c r="D66" i="2"/>
  <c r="X43" i="5"/>
  <c r="D67" i="2" s="1"/>
  <c r="B102" i="1"/>
  <c r="B148" s="1"/>
  <c r="E143"/>
  <c r="E139"/>
  <c r="C132"/>
  <c r="E138"/>
  <c r="E134"/>
  <c r="E86"/>
  <c r="E84"/>
  <c r="E82"/>
  <c r="E79"/>
  <c r="E85"/>
  <c r="E83"/>
  <c r="G125" i="5"/>
  <c r="G97"/>
  <c r="G11" i="10"/>
  <c r="G26" s="1"/>
  <c r="G45" s="1"/>
  <c r="G49" s="1"/>
  <c r="G127" i="5"/>
  <c r="H125"/>
  <c r="B234" i="1" s="1"/>
  <c r="H97" i="5"/>
  <c r="H11" i="10"/>
  <c r="H26" s="1"/>
  <c r="H45" s="1"/>
  <c r="H49" s="1"/>
  <c r="H127" i="5"/>
  <c r="H126"/>
  <c r="H128"/>
  <c r="R96"/>
  <c r="R99"/>
  <c r="G126"/>
  <c r="G128"/>
  <c r="B237" i="1" s="1"/>
  <c r="AE55" i="5"/>
  <c r="AE57" s="1"/>
  <c r="B236" i="1"/>
  <c r="E115"/>
  <c r="E158" s="1"/>
  <c r="E72"/>
  <c r="F10"/>
  <c r="G10" s="1"/>
  <c r="E219"/>
  <c r="D28" l="1"/>
  <c r="D128"/>
  <c r="D88"/>
  <c r="D122"/>
  <c r="E28"/>
  <c r="E94"/>
  <c r="E80"/>
  <c r="E93"/>
  <c r="E117"/>
  <c r="E119"/>
  <c r="F74"/>
  <c r="F96" s="1"/>
  <c r="E88"/>
  <c r="B145"/>
  <c r="X35" i="5"/>
  <c r="D58" i="2"/>
  <c r="X28" i="5"/>
  <c r="D52" i="2" s="1"/>
  <c r="D48"/>
  <c r="E123" i="1"/>
  <c r="E127"/>
  <c r="E137"/>
  <c r="E126"/>
  <c r="E122"/>
  <c r="E125"/>
  <c r="E129"/>
  <c r="E124"/>
  <c r="F95"/>
  <c r="E128"/>
  <c r="E136"/>
  <c r="G72"/>
  <c r="G115"/>
  <c r="G158" s="1"/>
  <c r="G219"/>
  <c r="F76"/>
  <c r="F13" s="1"/>
  <c r="F115"/>
  <c r="F158" s="1"/>
  <c r="F219"/>
  <c r="F72"/>
  <c r="D131" l="1"/>
  <c r="D89"/>
  <c r="F117"/>
  <c r="F81"/>
  <c r="X36" i="5"/>
  <c r="D60" i="2" s="1"/>
  <c r="D59"/>
  <c r="B235" i="1"/>
  <c r="E89"/>
  <c r="E233" s="1"/>
  <c r="E131"/>
  <c r="F138"/>
  <c r="F139"/>
  <c r="F143"/>
  <c r="F119"/>
  <c r="F134"/>
  <c r="F85"/>
  <c r="F28" s="1"/>
  <c r="F83"/>
  <c r="F79"/>
  <c r="F80"/>
  <c r="F93"/>
  <c r="F86"/>
  <c r="F84"/>
  <c r="F82"/>
  <c r="F94"/>
  <c r="G74"/>
  <c r="G96" s="1"/>
  <c r="H96" s="1"/>
  <c r="D132" l="1"/>
  <c r="D233"/>
  <c r="F88"/>
  <c r="F137"/>
  <c r="F127"/>
  <c r="F136"/>
  <c r="F122"/>
  <c r="F126"/>
  <c r="F125"/>
  <c r="F129"/>
  <c r="F123"/>
  <c r="F124"/>
  <c r="F128"/>
  <c r="E132"/>
  <c r="H74"/>
  <c r="G95"/>
  <c r="G76"/>
  <c r="G117" l="1"/>
  <c r="H117" s="1"/>
  <c r="G13"/>
  <c r="G138"/>
  <c r="H138"/>
  <c r="G143"/>
  <c r="G119"/>
  <c r="H119" s="1"/>
  <c r="G139"/>
  <c r="G134"/>
  <c r="H134"/>
  <c r="H139"/>
  <c r="H148"/>
  <c r="H143"/>
  <c r="F89"/>
  <c r="F233" s="1"/>
  <c r="F131"/>
  <c r="G93"/>
  <c r="G86"/>
  <c r="G84"/>
  <c r="G82"/>
  <c r="G80"/>
  <c r="G83"/>
  <c r="G81"/>
  <c r="G85"/>
  <c r="G28" s="1"/>
  <c r="G79"/>
  <c r="G94"/>
  <c r="H76"/>
  <c r="G88" l="1"/>
  <c r="H81"/>
  <c r="G124"/>
  <c r="H124"/>
  <c r="H80"/>
  <c r="G123"/>
  <c r="H123"/>
  <c r="H84"/>
  <c r="G127"/>
  <c r="H127"/>
  <c r="H94"/>
  <c r="G137"/>
  <c r="H137"/>
  <c r="G128"/>
  <c r="H128"/>
  <c r="H83"/>
  <c r="G126"/>
  <c r="H126"/>
  <c r="H82"/>
  <c r="G125"/>
  <c r="H125"/>
  <c r="H86"/>
  <c r="G129"/>
  <c r="H129"/>
  <c r="F132"/>
  <c r="G122"/>
  <c r="H122"/>
  <c r="H93"/>
  <c r="G136"/>
  <c r="H136"/>
  <c r="H88"/>
  <c r="H85"/>
  <c r="H28"/>
  <c r="H79"/>
  <c r="G89" l="1"/>
  <c r="G233" s="1"/>
  <c r="H233" s="1"/>
  <c r="G131"/>
  <c r="H131"/>
  <c r="H89" l="1"/>
  <c r="G132"/>
  <c r="H132"/>
  <c r="O50" l="1"/>
  <c r="P50"/>
  <c r="Q50"/>
  <c r="R50"/>
  <c r="S50"/>
  <c r="O51"/>
  <c r="P51"/>
  <c r="Q51"/>
  <c r="R51"/>
  <c r="S51"/>
  <c r="C26" l="1"/>
  <c r="D23" s="1"/>
  <c r="C30" l="1"/>
  <c r="C243" s="1"/>
  <c r="D26"/>
  <c r="E23" s="1"/>
  <c r="E26" l="1"/>
  <c r="F23" s="1"/>
  <c r="D30"/>
  <c r="D243" s="1"/>
  <c r="F26" l="1"/>
  <c r="E30"/>
  <c r="E243" s="1"/>
  <c r="F30"/>
  <c r="G23" l="1"/>
  <c r="H23" s="1"/>
  <c r="F243"/>
  <c r="G26" l="1"/>
  <c r="H26"/>
  <c r="G30"/>
  <c r="H30" s="1"/>
  <c r="G243" l="1"/>
  <c r="H243" s="1"/>
  <c r="C144"/>
  <c r="D144"/>
  <c r="E144"/>
  <c r="F144"/>
  <c r="G144"/>
  <c r="H144"/>
  <c r="H34" l="1"/>
  <c r="H14"/>
  <c r="H13"/>
  <c r="D38" i="2"/>
  <c r="AD14" i="5"/>
  <c r="AC40"/>
  <c r="C15" i="1"/>
  <c r="D15"/>
  <c r="E15"/>
  <c r="F15"/>
  <c r="G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33"/>
  <c r="D33"/>
  <c r="E33"/>
  <c r="F33"/>
  <c r="G33"/>
  <c r="H33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43"/>
  <c r="D43"/>
  <c r="E43"/>
  <c r="F43"/>
  <c r="G43"/>
  <c r="H43"/>
  <c r="C45"/>
  <c r="D45"/>
  <c r="E45"/>
  <c r="F45"/>
  <c r="G45"/>
  <c r="H45"/>
  <c r="C46"/>
  <c r="D46"/>
  <c r="E46"/>
  <c r="F46"/>
  <c r="G46"/>
  <c r="H46"/>
  <c r="J50"/>
  <c r="K50"/>
  <c r="L50"/>
  <c r="M50"/>
  <c r="N50"/>
  <c r="C51"/>
  <c r="D51"/>
  <c r="E51"/>
  <c r="F51"/>
  <c r="G51"/>
  <c r="J51"/>
  <c r="K51"/>
  <c r="L51"/>
  <c r="M51"/>
  <c r="N51"/>
  <c r="C52"/>
  <c r="D52"/>
  <c r="E52"/>
  <c r="F52"/>
  <c r="G52"/>
  <c r="H52"/>
  <c r="C54"/>
  <c r="D54"/>
  <c r="E54"/>
  <c r="F54"/>
  <c r="G54"/>
  <c r="H54"/>
  <c r="C57"/>
  <c r="D57"/>
  <c r="E57"/>
  <c r="F57"/>
  <c r="G57"/>
  <c r="H57"/>
  <c r="C59"/>
  <c r="D59"/>
  <c r="E59"/>
  <c r="F59"/>
  <c r="G59"/>
  <c r="H59"/>
  <c r="C60"/>
  <c r="D60"/>
  <c r="E60"/>
  <c r="F60"/>
  <c r="G60"/>
  <c r="H60"/>
  <c r="C61"/>
  <c r="D61"/>
  <c r="E61"/>
  <c r="F61"/>
  <c r="G61"/>
  <c r="C92"/>
  <c r="D92"/>
  <c r="E92"/>
  <c r="F92"/>
  <c r="G92"/>
  <c r="C97"/>
  <c r="D97"/>
  <c r="E97"/>
  <c r="F97"/>
  <c r="G97"/>
  <c r="H97"/>
  <c r="C99"/>
  <c r="D99"/>
  <c r="E99"/>
  <c r="F99"/>
  <c r="G99"/>
  <c r="H99"/>
  <c r="C102"/>
  <c r="D102"/>
  <c r="E102"/>
  <c r="F102"/>
  <c r="G102"/>
  <c r="C135"/>
  <c r="D135"/>
  <c r="E135"/>
  <c r="F135"/>
  <c r="G135"/>
  <c r="H135"/>
  <c r="C140"/>
  <c r="D140"/>
  <c r="E140"/>
  <c r="F140"/>
  <c r="G140"/>
  <c r="H140"/>
  <c r="C142"/>
  <c r="D142"/>
  <c r="E142"/>
  <c r="F142"/>
  <c r="G142"/>
  <c r="H142"/>
  <c r="C145"/>
  <c r="D145"/>
  <c r="E145"/>
  <c r="F145"/>
  <c r="G145"/>
  <c r="H145"/>
  <c r="C148"/>
  <c r="D148"/>
  <c r="E148"/>
  <c r="F148"/>
  <c r="G148"/>
  <c r="C161"/>
  <c r="D161"/>
  <c r="E161"/>
  <c r="F161"/>
  <c r="G161"/>
  <c r="H161"/>
  <c r="C162"/>
  <c r="D162"/>
  <c r="E162"/>
  <c r="F162"/>
  <c r="G162"/>
  <c r="H162"/>
  <c r="C163"/>
  <c r="D163"/>
  <c r="E163"/>
  <c r="F163"/>
  <c r="G163"/>
  <c r="H163"/>
  <c r="C164"/>
  <c r="D164"/>
  <c r="E164"/>
  <c r="F164"/>
  <c r="G164"/>
  <c r="H164"/>
  <c r="C165"/>
  <c r="D165"/>
  <c r="E165"/>
  <c r="F165"/>
  <c r="G165"/>
  <c r="H165"/>
  <c r="C166"/>
  <c r="D166"/>
  <c r="E166"/>
  <c r="F166"/>
  <c r="G166"/>
  <c r="H166"/>
  <c r="C167"/>
  <c r="D167"/>
  <c r="E167"/>
  <c r="F167"/>
  <c r="G167"/>
  <c r="H167"/>
  <c r="C168"/>
  <c r="D168"/>
  <c r="E168"/>
  <c r="F168"/>
  <c r="G168"/>
  <c r="H168"/>
  <c r="C171"/>
  <c r="D171"/>
  <c r="E171"/>
  <c r="F171"/>
  <c r="G171"/>
  <c r="H171"/>
  <c r="C172"/>
  <c r="D172"/>
  <c r="E172"/>
  <c r="F172"/>
  <c r="G172"/>
  <c r="H172"/>
  <c r="C173"/>
  <c r="D173"/>
  <c r="E173"/>
  <c r="F173"/>
  <c r="G173"/>
  <c r="H173"/>
  <c r="C174"/>
  <c r="D174"/>
  <c r="E174"/>
  <c r="F174"/>
  <c r="G174"/>
  <c r="H174"/>
  <c r="C176"/>
  <c r="D176"/>
  <c r="E176"/>
  <c r="F176"/>
  <c r="G176"/>
  <c r="H176"/>
  <c r="C178"/>
  <c r="D178"/>
  <c r="E178"/>
  <c r="F178"/>
  <c r="G178"/>
  <c r="H178"/>
  <c r="C181"/>
  <c r="D181"/>
  <c r="E181"/>
  <c r="F181"/>
  <c r="G181"/>
  <c r="H181"/>
  <c r="C182"/>
  <c r="D182"/>
  <c r="E182"/>
  <c r="F182"/>
  <c r="G182"/>
  <c r="H182"/>
  <c r="C183"/>
  <c r="D183"/>
  <c r="E183"/>
  <c r="F183"/>
  <c r="G183"/>
  <c r="H183"/>
  <c r="C184"/>
  <c r="D184"/>
  <c r="E184"/>
  <c r="F184"/>
  <c r="G184"/>
  <c r="H184"/>
  <c r="C185"/>
  <c r="D185"/>
  <c r="E185"/>
  <c r="F185"/>
  <c r="G185"/>
  <c r="H185"/>
  <c r="C186"/>
  <c r="D186"/>
  <c r="E186"/>
  <c r="F186"/>
  <c r="G186"/>
  <c r="H186"/>
  <c r="C190"/>
  <c r="D190"/>
  <c r="E190"/>
  <c r="F190"/>
  <c r="G190"/>
  <c r="H190"/>
  <c r="C191"/>
  <c r="D191"/>
  <c r="E191"/>
  <c r="F191"/>
  <c r="G191"/>
  <c r="H191"/>
  <c r="C192"/>
  <c r="D192"/>
  <c r="E192"/>
  <c r="F192"/>
  <c r="G192"/>
  <c r="H192"/>
  <c r="C193"/>
  <c r="D193"/>
  <c r="E193"/>
  <c r="F193"/>
  <c r="G193"/>
  <c r="H193"/>
  <c r="C194"/>
  <c r="D194"/>
  <c r="E194"/>
  <c r="F194"/>
  <c r="G194"/>
  <c r="H194"/>
  <c r="C196"/>
  <c r="D196"/>
  <c r="E196"/>
  <c r="F196"/>
  <c r="G196"/>
  <c r="H196"/>
  <c r="C197"/>
  <c r="D197"/>
  <c r="E197"/>
  <c r="F197"/>
  <c r="G197"/>
  <c r="H197"/>
  <c r="C198"/>
  <c r="D198"/>
  <c r="E198"/>
  <c r="F198"/>
  <c r="G198"/>
  <c r="H198"/>
  <c r="C199"/>
  <c r="D199"/>
  <c r="E199"/>
  <c r="F199"/>
  <c r="G199"/>
  <c r="H199"/>
  <c r="C200"/>
  <c r="D200"/>
  <c r="E200"/>
  <c r="F200"/>
  <c r="G200"/>
  <c r="H200"/>
  <c r="C202"/>
  <c r="D202"/>
  <c r="E202"/>
  <c r="F202"/>
  <c r="G202"/>
  <c r="H202"/>
  <c r="C205"/>
  <c r="D205"/>
  <c r="E205"/>
  <c r="F205"/>
  <c r="G205"/>
  <c r="H205"/>
  <c r="C207"/>
  <c r="D207"/>
  <c r="E207"/>
  <c r="F207"/>
  <c r="G207"/>
  <c r="H207"/>
  <c r="C208"/>
  <c r="D208"/>
  <c r="E208"/>
  <c r="F208"/>
  <c r="G208"/>
  <c r="H208"/>
  <c r="C222"/>
  <c r="D222"/>
  <c r="E222"/>
  <c r="F222"/>
  <c r="G222"/>
  <c r="H222"/>
  <c r="C223"/>
  <c r="D223"/>
  <c r="E223"/>
  <c r="F223"/>
  <c r="G223"/>
  <c r="H223"/>
  <c r="C224"/>
  <c r="D224"/>
  <c r="E224"/>
  <c r="F224"/>
  <c r="G224"/>
  <c r="H224"/>
  <c r="C227"/>
  <c r="D227"/>
  <c r="E227"/>
  <c r="F227"/>
  <c r="G227"/>
  <c r="H227"/>
  <c r="C228"/>
  <c r="D228"/>
  <c r="E228"/>
  <c r="F228"/>
  <c r="G228"/>
  <c r="H228"/>
  <c r="C229"/>
  <c r="D229"/>
  <c r="E229"/>
  <c r="F229"/>
  <c r="G229"/>
  <c r="H229"/>
  <c r="C230"/>
  <c r="D230"/>
  <c r="E230"/>
  <c r="F230"/>
  <c r="G230"/>
  <c r="H230"/>
  <c r="C234"/>
  <c r="D234"/>
  <c r="E234"/>
  <c r="F234"/>
  <c r="G234"/>
  <c r="H234"/>
  <c r="C235"/>
  <c r="D235"/>
  <c r="E235"/>
  <c r="F235"/>
  <c r="G235"/>
  <c r="H235"/>
  <c r="C236"/>
  <c r="D236"/>
  <c r="E236"/>
  <c r="F236"/>
  <c r="G236"/>
  <c r="H236"/>
  <c r="C237"/>
  <c r="D237"/>
  <c r="E237"/>
  <c r="F237"/>
  <c r="G237"/>
  <c r="H237"/>
  <c r="C240"/>
  <c r="D240"/>
  <c r="E240"/>
  <c r="F240"/>
  <c r="G240"/>
  <c r="H240"/>
  <c r="C241"/>
  <c r="D241"/>
  <c r="E241"/>
  <c r="F241"/>
  <c r="G241"/>
  <c r="H241"/>
  <c r="C242"/>
  <c r="D242"/>
  <c r="E242"/>
  <c r="F242"/>
  <c r="G242"/>
  <c r="H242"/>
  <c r="C244"/>
  <c r="D244"/>
  <c r="E244"/>
  <c r="F244"/>
  <c r="G244"/>
  <c r="H244"/>
  <c r="C252"/>
  <c r="D252"/>
  <c r="E252"/>
  <c r="F252"/>
  <c r="G252"/>
  <c r="H252"/>
  <c r="C253"/>
  <c r="D253"/>
  <c r="E253"/>
  <c r="F253"/>
  <c r="G253"/>
  <c r="H253"/>
  <c r="C256"/>
  <c r="D256"/>
  <c r="E256"/>
  <c r="F256"/>
  <c r="G256"/>
  <c r="H256"/>
  <c r="C257"/>
  <c r="D257"/>
  <c r="E257"/>
  <c r="F257"/>
  <c r="G257"/>
  <c r="H257"/>
  <c r="C258"/>
  <c r="D258"/>
  <c r="E258"/>
  <c r="F258"/>
  <c r="G258"/>
  <c r="H258"/>
</calcChain>
</file>

<file path=xl/sharedStrings.xml><?xml version="1.0" encoding="utf-8"?>
<sst xmlns="http://schemas.openxmlformats.org/spreadsheetml/2006/main" count="357" uniqueCount="198">
  <si>
    <t>Account Name</t>
  </si>
  <si>
    <t>Additional Loans</t>
  </si>
  <si>
    <t>Asset-utilization Ratios:</t>
  </si>
  <si>
    <t>Average</t>
  </si>
  <si>
    <t>Avg. Annual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</si>
  <si>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</si>
  <si>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</si>
  <si>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</si>
  <si>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</si>
  <si>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</si>
  <si>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</si>
  <si>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Depreciation Rate</t>
  </si>
  <si>
    <t xml:space="preserve">Dividend Payout </t>
  </si>
  <si>
    <t>Earnings Before Taxes</t>
  </si>
  <si>
    <t>Earnings From Operations</t>
  </si>
  <si>
    <t>FORECAST ASSUMPTIONS</t>
  </si>
  <si>
    <t>Historical</t>
  </si>
  <si>
    <t>Historical Income Statements</t>
  </si>
  <si>
    <t>Income Tax Rate</t>
  </si>
  <si>
    <t>Income Taxes</t>
  </si>
  <si>
    <t>Inflation (GDP)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</si>
  <si>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</si>
  <si>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</si>
  <si>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</si>
  <si>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</si>
  <si>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</si>
  <si>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</si>
  <si>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</si>
  <si>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</si>
  <si>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</si>
  <si>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</si>
  <si>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</si>
  <si>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</si>
  <si>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</si>
  <si>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</si>
  <si>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</si>
  <si>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</si>
  <si>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</si>
  <si>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</si>
  <si>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</si>
  <si>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</si>
  <si>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</si>
  <si>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Surplus Cash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</si>
  <si>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</si>
  <si>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</si>
  <si>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</si>
  <si>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</si>
  <si>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</si>
  <si>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</si>
  <si>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</si>
  <si>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</si>
  <si>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</si>
  <si>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Forecast Balance Sheets</t>
  </si>
  <si>
    <t>Company Name</t>
  </si>
  <si>
    <t>Forecast Income Statements</t>
  </si>
  <si>
    <t>Common Size</t>
  </si>
  <si>
    <t>Historical Balance Sheets</t>
  </si>
  <si>
    <t>Forecast</t>
  </si>
  <si>
    <t>Historical Financial Ratios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</si>
  <si>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</si>
  <si>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</si>
  <si>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</si>
  <si>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</si>
  <si>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</si>
  <si>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Other PP&amp;E</t>
  </si>
  <si>
    <t>Accumulated Depreciation &amp; Amort.</t>
  </si>
  <si>
    <t>Net Plant &amp; Equipment</t>
  </si>
  <si>
    <t>Long-Term Debt</t>
  </si>
  <si>
    <t>Other Deferred Credits</t>
  </si>
  <si>
    <t>Total LTD &amp; Deferrals</t>
  </si>
  <si>
    <t>Total Plant &amp; Equipment:</t>
  </si>
  <si>
    <t xml:space="preserve">Other </t>
  </si>
  <si>
    <t>Return On Common Equity</t>
  </si>
  <si>
    <t>Return On Total Capital</t>
  </si>
  <si>
    <t>Profitability Ratios:</t>
  </si>
  <si>
    <t>Other Financial Indicators:</t>
  </si>
  <si>
    <t>Bond Rating</t>
  </si>
  <si>
    <t>Common Stock Rating</t>
  </si>
  <si>
    <t>Commercial Paper Ratings</t>
  </si>
  <si>
    <t>Other Assets:</t>
  </si>
  <si>
    <t>Total Other Assets</t>
  </si>
  <si>
    <t>of pfd. Stock balance</t>
  </si>
  <si>
    <t>avg.</t>
  </si>
  <si>
    <t>Material and Supplies</t>
  </si>
  <si>
    <t>Acounts Payable</t>
  </si>
  <si>
    <t>Accounts Receivable, net</t>
  </si>
  <si>
    <t>Years Ended December 31</t>
  </si>
  <si>
    <t>no preferred stock</t>
  </si>
  <si>
    <t>Exhibit 1</t>
  </si>
  <si>
    <t>Plant in Service</t>
  </si>
  <si>
    <t>Averages</t>
  </si>
  <si>
    <t>Capital Structure (Regulatory):</t>
  </si>
  <si>
    <t>Common Equity</t>
  </si>
  <si>
    <t>Capital Structure:</t>
  </si>
  <si>
    <t>Short-Term Debt</t>
  </si>
  <si>
    <t xml:space="preserve"> </t>
  </si>
  <si>
    <t>Patrons Capital</t>
  </si>
  <si>
    <t>Revenues</t>
  </si>
  <si>
    <t>Other Revenues</t>
  </si>
  <si>
    <t>Operating Revenues</t>
  </si>
  <si>
    <t>Page 1 of 5</t>
  </si>
  <si>
    <t>Page 5 of 5</t>
  </si>
  <si>
    <t>Page 4 of 5</t>
  </si>
  <si>
    <t>Page 3 of 5</t>
  </si>
  <si>
    <t>Page 2 of 5</t>
  </si>
  <si>
    <t>Return of Patronage Capital</t>
  </si>
  <si>
    <t>approximate current yield on money market funds</t>
  </si>
  <si>
    <t>Current Portion of LTD</t>
  </si>
  <si>
    <t>Customer Deposits</t>
  </si>
  <si>
    <t xml:space="preserve">   Other (Income) Expense</t>
  </si>
  <si>
    <t>Total Patronage Equity</t>
  </si>
  <si>
    <t>Return of Patrons Capital</t>
  </si>
  <si>
    <t>Year over Change</t>
  </si>
  <si>
    <t>Less: Return of Capital</t>
  </si>
  <si>
    <t>Deseret Generation &amp; Transmission</t>
  </si>
  <si>
    <t>Investments and Other Property</t>
  </si>
  <si>
    <t>Accumulated Deferred Income Taxes</t>
  </si>
  <si>
    <t>Other Deferred Debits and Other Assets</t>
  </si>
  <si>
    <t>Patronage Equity:</t>
  </si>
  <si>
    <t>Construction Work in Progress</t>
  </si>
  <si>
    <t>avg. of hist. amounts (excluding 2008)</t>
  </si>
  <si>
    <t xml:space="preserve">Forecast Balance Sheets </t>
  </si>
  <si>
    <t>% of LTD (including 2008 actual)</t>
  </si>
  <si>
    <t xml:space="preserve">approximate current yield </t>
  </si>
  <si>
    <t xml:space="preserve">Forecast Income Statements </t>
  </si>
  <si>
    <t>AVG</t>
  </si>
  <si>
    <t>% preceding year's net income, unless income is less than $1 MM in which case distributions are zero.</t>
  </si>
  <si>
    <t>Exhibit 2</t>
  </si>
  <si>
    <t xml:space="preserve">   Interest and Other (Income)</t>
  </si>
  <si>
    <t>Fuel Stock</t>
  </si>
  <si>
    <t>Gross Margin</t>
  </si>
  <si>
    <t>Net Margin</t>
  </si>
  <si>
    <t>Power Production (21 - 5)</t>
  </si>
  <si>
    <t>Fuel (5)</t>
  </si>
  <si>
    <t>Cost of Purchased Power (79)</t>
  </si>
  <si>
    <t>Operations / Transmission (99)</t>
  </si>
  <si>
    <t>Maintenance (111+156)</t>
  </si>
  <si>
    <t>Sales General &amp; Admin(164, 178, 197)</t>
  </si>
  <si>
    <t>Depreciation and Amortization (6, 9)</t>
  </si>
  <si>
    <t>Taxes, other than income taxes (14)</t>
  </si>
  <si>
    <t>Statement of Cash Flows</t>
  </si>
  <si>
    <t>Noncash Charges (Credits) to Income</t>
  </si>
  <si>
    <t>Depreciation &amp; Amortization</t>
  </si>
  <si>
    <t>Deferred Income Tax</t>
  </si>
  <si>
    <t>Net Cash Provided (Used) Operations</t>
  </si>
  <si>
    <t>Accrued Interest &amp; Unrealized Gains</t>
  </si>
  <si>
    <t>(Increase) Decrease in Receivables</t>
  </si>
  <si>
    <t>(Increase) Decrease in Inventory</t>
  </si>
  <si>
    <t>(Increase) Decrease in Payables</t>
  </si>
  <si>
    <t>Undistributed Earnings from Subsidiary</t>
  </si>
  <si>
    <t>Deferred Debits</t>
  </si>
  <si>
    <t>Deferred Credits</t>
  </si>
  <si>
    <t>Derivative Assets / Liabilities</t>
  </si>
  <si>
    <t xml:space="preserve">   Equity in Earnings of Subsidiary Co</t>
  </si>
  <si>
    <t xml:space="preserve">   Interest expense </t>
  </si>
  <si>
    <t>Investing Activities</t>
  </si>
  <si>
    <t>Additions in Utility Plant</t>
  </si>
  <si>
    <t>Net Cash Provided (Used) Investing</t>
  </si>
  <si>
    <t>Disposal of Noncurrent Assets</t>
  </si>
  <si>
    <t>Sale of Special Funds</t>
  </si>
  <si>
    <t>Investment in Subsidiary Companies</t>
  </si>
  <si>
    <t>(Increase) Decrease Restricted Cash</t>
  </si>
  <si>
    <t>Financing Activities</t>
  </si>
  <si>
    <t>Issuance of Long-Term Debt</t>
  </si>
  <si>
    <t>Reduction in Long-Term Debt</t>
  </si>
  <si>
    <t>Net Cash Provided (Used) Financing</t>
  </si>
  <si>
    <t>Net Increase (Decrease) in Cash</t>
  </si>
  <si>
    <t>Cash at Beginning of Period</t>
  </si>
  <si>
    <t>Cash at End of Period</t>
  </si>
  <si>
    <t xml:space="preserve">Unrestricted Cash </t>
  </si>
  <si>
    <t>Restricted Deposits</t>
  </si>
  <si>
    <t>Deposits &amp; Other</t>
  </si>
  <si>
    <t>Interest &amp; Dividend Receivable</t>
  </si>
  <si>
    <t>page 3 of 6</t>
  </si>
  <si>
    <t>page 2 of 6</t>
  </si>
  <si>
    <t>page 5 of 6</t>
  </si>
  <si>
    <t>page 1 of 6</t>
  </si>
  <si>
    <t>page 4 of 6</t>
  </si>
  <si>
    <t>page 6 of 6</t>
  </si>
  <si>
    <t xml:space="preserve">   Interest on (Surplus Cash)/Add. Loans</t>
  </si>
  <si>
    <t xml:space="preserve">Times Earnings before tax </t>
  </si>
  <si>
    <t>Historical Average</t>
  </si>
  <si>
    <t>Adjusted Average</t>
  </si>
  <si>
    <t>Estimated Interest Rate</t>
  </si>
  <si>
    <t>Change in LT Debt</t>
  </si>
  <si>
    <t>Times Earnings before Tax</t>
  </si>
  <si>
    <t>Avg</t>
  </si>
  <si>
    <t>Forecast Financial Ratios</t>
  </si>
  <si>
    <t xml:space="preserve">   Interest and Other (Income) 37</t>
  </si>
  <si>
    <t xml:space="preserve">   Equity in Earnings of Subsidiary Co 36</t>
  </si>
  <si>
    <t xml:space="preserve">   Interest expense 70</t>
  </si>
  <si>
    <t>Taxes, other than income taxes (14, 16, 17)</t>
  </si>
  <si>
    <t>Provision for Deferred Income Taxes 17</t>
  </si>
  <si>
    <t xml:space="preserve">   Loss (Gain) on Sale of Assets 40</t>
  </si>
  <si>
    <t>2005 to 2010</t>
  </si>
  <si>
    <t>Flat at 2010 level</t>
  </si>
  <si>
    <t>Four weeks of revenues</t>
  </si>
  <si>
    <t>Percent of revenues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</si>
</sst>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7" formatCode="&quot;$&quot;#,##0.00_);\(&quot;$&quot;#,##0.00\)"/>
    <numFmt numFmtId="164" formatCode="0.000%"/>
    <numFmt numFmtId="165" formatCode="#,##0.0000_);\(#,##0.0000\)"/>
    <numFmt numFmtId="166" formatCode="0.0000%"/>
    <numFmt numFmtId="167" formatCode="[$-409]mmmm\ d\,\ yyyy;@"/>
    <numFmt numFmtId="168" formatCode="0.00000"/>
    <numFmt numFmtId="169" formatCode="[$-409]m/d/yy\ h:mm\ AM/PM;@"/>
  </numFmts>
  <fonts count="17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4" fontId="7" fillId="2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</cellStyleXfs>
  <cellXfs count="278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2" fontId="3" fillId="2" borderId="0" xfId="0" applyNumberFormat="1" applyFont="1" applyFill="1"/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right"/>
    </xf>
    <xf numFmtId="10" fontId="3" fillId="2" borderId="0" xfId="0" applyNumberFormat="1" applyFont="1" applyFill="1" applyBorder="1"/>
    <xf numFmtId="5" fontId="3" fillId="2" borderId="0" xfId="0" applyNumberFormat="1" applyFont="1" applyFill="1" applyAlignment="1">
      <alignment horizontal="left"/>
    </xf>
    <xf numFmtId="10" fontId="3" fillId="2" borderId="0" xfId="0" applyNumberFormat="1" applyFont="1" applyFill="1" applyBorder="1" applyAlignment="1">
      <alignment horizontal="right"/>
    </xf>
    <xf numFmtId="5" fontId="6" fillId="2" borderId="0" xfId="0" applyNumberFormat="1" applyFont="1" applyFill="1"/>
    <xf numFmtId="5" fontId="0" fillId="2" borderId="0" xfId="0" applyNumberFormat="1" applyFill="1" applyAlignment="1">
      <alignment horizontal="center"/>
    </xf>
    <xf numFmtId="5" fontId="3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>
      <alignment horizontal="right"/>
    </xf>
    <xf numFmtId="10" fontId="6" fillId="2" borderId="0" xfId="0" applyNumberFormat="1" applyFont="1" applyFill="1"/>
    <xf numFmtId="5" fontId="5" fillId="3" borderId="0" xfId="3" applyNumberFormat="1" applyFont="1" applyFill="1" applyBorder="1"/>
    <xf numFmtId="0" fontId="6" fillId="2" borderId="0" xfId="0" applyFont="1" applyFill="1"/>
    <xf numFmtId="5" fontId="8" fillId="2" borderId="0" xfId="0" applyNumberFormat="1" applyFont="1" applyFill="1"/>
    <xf numFmtId="0" fontId="6" fillId="2" borderId="0" xfId="0" applyNumberFormat="1" applyFont="1" applyFill="1"/>
    <xf numFmtId="5" fontId="10" fillId="2" borderId="0" xfId="0" applyNumberFormat="1" applyFont="1" applyFill="1"/>
    <xf numFmtId="5" fontId="6" fillId="2" borderId="0" xfId="0" quotePrefix="1" applyNumberFormat="1" applyFont="1" applyFill="1" applyAlignment="1">
      <alignment horizontal="left"/>
    </xf>
    <xf numFmtId="166" fontId="6" fillId="2" borderId="0" xfId="0" applyNumberFormat="1" applyFont="1" applyFill="1"/>
    <xf numFmtId="2" fontId="6" fillId="2" borderId="0" xfId="0" applyNumberFormat="1" applyFont="1" applyFill="1"/>
    <xf numFmtId="10" fontId="0" fillId="2" borderId="0" xfId="0" quotePrefix="1" applyNumberFormat="1" applyFill="1" applyAlignment="1">
      <alignment horizontal="left"/>
    </xf>
    <xf numFmtId="5" fontId="6" fillId="2" borderId="0" xfId="0" quotePrefix="1" applyNumberFormat="1" applyFont="1" applyFill="1" applyAlignment="1">
      <alignment horizontal="right"/>
    </xf>
    <xf numFmtId="164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5" fontId="6" fillId="2" borderId="0" xfId="0" applyNumberFormat="1" applyFont="1" applyFill="1" applyAlignment="1">
      <alignment horizontal="left"/>
    </xf>
    <xf numFmtId="39" fontId="6" fillId="2" borderId="0" xfId="0" applyNumberFormat="1" applyFont="1" applyFill="1"/>
    <xf numFmtId="0" fontId="0" fillId="2" borderId="0" xfId="0" applyNumberFormat="1" applyFill="1"/>
    <xf numFmtId="7" fontId="6" fillId="2" borderId="0" xfId="0" quotePrefix="1" applyNumberFormat="1" applyFont="1" applyFill="1" applyAlignment="1">
      <alignment horizontal="left"/>
    </xf>
    <xf numFmtId="22" fontId="8" fillId="2" borderId="0" xfId="0" applyNumberFormat="1" applyFont="1" applyFill="1"/>
    <xf numFmtId="5" fontId="9" fillId="2" borderId="0" xfId="0" applyNumberFormat="1" applyFont="1" applyFill="1"/>
    <xf numFmtId="0" fontId="0" fillId="0" borderId="0" xfId="0" applyNumberFormat="1" applyFill="1" applyBorder="1"/>
    <xf numFmtId="4" fontId="6" fillId="2" borderId="0" xfId="0" applyNumberFormat="1" applyFont="1" applyFill="1"/>
    <xf numFmtId="9" fontId="0" fillId="2" borderId="0" xfId="0" applyNumberFormat="1" applyFill="1"/>
    <xf numFmtId="5" fontId="7" fillId="2" borderId="0" xfId="0" applyNumberFormat="1" applyFont="1" applyFill="1"/>
    <xf numFmtId="5" fontId="6" fillId="2" borderId="2" xfId="0" applyNumberFormat="1" applyFont="1" applyFill="1" applyBorder="1"/>
    <xf numFmtId="5" fontId="6" fillId="2" borderId="0" xfId="0" applyNumberFormat="1" applyFont="1" applyFill="1" applyAlignment="1">
      <alignment horizontal="centerContinuous"/>
    </xf>
    <xf numFmtId="5" fontId="6" fillId="2" borderId="0" xfId="0" applyNumberFormat="1" applyFont="1" applyFill="1" applyBorder="1"/>
    <xf numFmtId="0" fontId="6" fillId="2" borderId="0" xfId="0" applyFont="1" applyFill="1" applyBorder="1"/>
    <xf numFmtId="10" fontId="6" fillId="2" borderId="0" xfId="0" applyNumberFormat="1" applyFont="1" applyFill="1" applyBorder="1"/>
    <xf numFmtId="9" fontId="6" fillId="2" borderId="0" xfId="0" applyNumberFormat="1" applyFont="1" applyFill="1"/>
    <xf numFmtId="10" fontId="6" fillId="0" borderId="0" xfId="0" applyNumberFormat="1" applyFont="1" applyFill="1"/>
    <xf numFmtId="0" fontId="6" fillId="2" borderId="0" xfId="0" applyNumberFormat="1" applyFont="1" applyFill="1" applyAlignment="1">
      <alignment horizontal="right"/>
    </xf>
    <xf numFmtId="5" fontId="6" fillId="2" borderId="0" xfId="0" applyNumberFormat="1" applyFont="1" applyFill="1" applyAlignment="1">
      <alignment horizontal="left" wrapText="1"/>
    </xf>
    <xf numFmtId="5" fontId="6" fillId="0" borderId="0" xfId="0" applyNumberFormat="1" applyFont="1" applyFill="1"/>
    <xf numFmtId="5" fontId="3" fillId="2" borderId="0" xfId="0" applyNumberFormat="1" applyFont="1" applyFill="1" applyAlignment="1"/>
    <xf numFmtId="10" fontId="3" fillId="2" borderId="0" xfId="0" applyNumberFormat="1" applyFont="1" applyFill="1" applyAlignment="1"/>
    <xf numFmtId="10" fontId="6" fillId="2" borderId="0" xfId="0" quotePrefix="1" applyNumberFormat="1" applyFont="1" applyFill="1" applyAlignment="1">
      <alignment horizontal="left"/>
    </xf>
    <xf numFmtId="5" fontId="6" fillId="2" borderId="0" xfId="0" applyNumberFormat="1" applyFont="1" applyFill="1" applyAlignment="1"/>
    <xf numFmtId="10" fontId="6" fillId="2" borderId="0" xfId="0" quotePrefix="1" applyNumberFormat="1" applyFont="1" applyFill="1" applyAlignment="1"/>
    <xf numFmtId="10" fontId="6" fillId="2" borderId="0" xfId="0" applyNumberFormat="1" applyFont="1" applyFill="1" applyBorder="1" applyAlignment="1"/>
    <xf numFmtId="0" fontId="3" fillId="2" borderId="0" xfId="0" applyFont="1" applyFill="1"/>
    <xf numFmtId="0" fontId="3" fillId="2" borderId="0" xfId="0" quotePrefix="1" applyFont="1" applyFill="1" applyAlignment="1">
      <alignment horizontal="left"/>
    </xf>
    <xf numFmtId="39" fontId="3" fillId="2" borderId="0" xfId="0" applyNumberFormat="1" applyFont="1" applyFill="1"/>
    <xf numFmtId="3" fontId="6" fillId="2" borderId="0" xfId="0" applyNumberFormat="1" applyFont="1" applyFill="1"/>
    <xf numFmtId="165" fontId="6" fillId="2" borderId="0" xfId="0" applyNumberFormat="1" applyFont="1" applyFill="1"/>
    <xf numFmtId="168" fontId="0" fillId="2" borderId="0" xfId="0" applyNumberFormat="1" applyFill="1"/>
    <xf numFmtId="168" fontId="6" fillId="2" borderId="0" xfId="0" applyNumberFormat="1" applyFont="1" applyFill="1"/>
    <xf numFmtId="0" fontId="3" fillId="2" borderId="0" xfId="0" applyFont="1" applyFill="1" applyAlignment="1">
      <alignment horizontal="left"/>
    </xf>
    <xf numFmtId="164" fontId="6" fillId="0" borderId="0" xfId="0" applyNumberFormat="1" applyFont="1" applyFill="1"/>
    <xf numFmtId="5" fontId="0" fillId="2" borderId="0" xfId="0" applyNumberForma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5" fontId="0" fillId="4" borderId="0" xfId="0" applyNumberFormat="1" applyFill="1" applyBorder="1"/>
    <xf numFmtId="3" fontId="7" fillId="2" borderId="0" xfId="1" applyNumberFormat="1"/>
    <xf numFmtId="10" fontId="7" fillId="2" borderId="0" xfId="0" applyNumberFormat="1" applyFont="1" applyFill="1"/>
    <xf numFmtId="10" fontId="7" fillId="2" borderId="8" xfId="0" applyNumberFormat="1" applyFont="1" applyFill="1" applyBorder="1"/>
    <xf numFmtId="5" fontId="7" fillId="2" borderId="0" xfId="0" applyNumberFormat="1" applyFont="1" applyFill="1" applyAlignment="1"/>
    <xf numFmtId="10" fontId="7" fillId="2" borderId="0" xfId="0" quotePrefix="1" applyNumberFormat="1" applyFont="1" applyFill="1" applyAlignment="1">
      <alignment horizontal="left"/>
    </xf>
    <xf numFmtId="10" fontId="7" fillId="2" borderId="0" xfId="0" applyNumberFormat="1" applyFont="1" applyFill="1" applyAlignment="1">
      <alignment horizontal="right"/>
    </xf>
    <xf numFmtId="10" fontId="7" fillId="2" borderId="0" xfId="0" quotePrefix="1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>
      <alignment horizontal="centerContinuous"/>
    </xf>
    <xf numFmtId="10" fontId="7" fillId="2" borderId="0" xfId="0" applyNumberFormat="1" applyFont="1" applyFill="1" applyAlignment="1"/>
    <xf numFmtId="167" fontId="12" fillId="2" borderId="0" xfId="0" quotePrefix="1" applyNumberFormat="1" applyFont="1" applyFill="1" applyAlignment="1"/>
    <xf numFmtId="5" fontId="13" fillId="2" borderId="0" xfId="0" applyNumberFormat="1" applyFont="1" applyFill="1"/>
    <xf numFmtId="5" fontId="7" fillId="2" borderId="0" xfId="0" quotePrefix="1" applyNumberFormat="1" applyFont="1" applyFill="1" applyAlignment="1">
      <alignment horizontal="left"/>
    </xf>
    <xf numFmtId="5" fontId="7" fillId="0" borderId="0" xfId="0" applyNumberFormat="1" applyFont="1" applyFill="1" applyAlignment="1">
      <alignment horizontal="left"/>
    </xf>
    <xf numFmtId="5" fontId="7" fillId="2" borderId="0" xfId="0" applyNumberFormat="1" applyFont="1" applyFill="1" applyBorder="1"/>
    <xf numFmtId="5" fontId="7" fillId="2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3" borderId="0" xfId="0" applyFont="1" applyFill="1" applyBorder="1"/>
    <xf numFmtId="0" fontId="14" fillId="3" borderId="0" xfId="0" quotePrefix="1" applyFont="1" applyFill="1" applyBorder="1" applyAlignment="1">
      <alignment horizontal="left"/>
    </xf>
    <xf numFmtId="5" fontId="14" fillId="2" borderId="0" xfId="0" quotePrefix="1" applyNumberFormat="1" applyFont="1" applyFill="1" applyAlignment="1">
      <alignment horizontal="left"/>
    </xf>
    <xf numFmtId="5" fontId="12" fillId="2" borderId="0" xfId="0" applyNumberFormat="1" applyFont="1" applyFill="1" applyAlignment="1"/>
    <xf numFmtId="0" fontId="14" fillId="3" borderId="0" xfId="0" applyFont="1" applyFill="1"/>
    <xf numFmtId="10" fontId="7" fillId="2" borderId="0" xfId="0" applyNumberFormat="1" applyFont="1" applyFill="1" applyBorder="1" applyAlignment="1">
      <alignment horizontal="right"/>
    </xf>
    <xf numFmtId="2" fontId="7" fillId="2" borderId="0" xfId="0" applyNumberFormat="1" applyFont="1" applyFill="1"/>
    <xf numFmtId="5" fontId="7" fillId="2" borderId="0" xfId="0" applyNumberFormat="1" applyFont="1" applyFill="1" applyAlignment="1">
      <alignment horizontal="right"/>
    </xf>
    <xf numFmtId="0" fontId="7" fillId="2" borderId="0" xfId="0" applyFont="1" applyFill="1" applyBorder="1"/>
    <xf numFmtId="10" fontId="7" fillId="2" borderId="2" xfId="0" applyNumberFormat="1" applyFont="1" applyFill="1" applyBorder="1"/>
    <xf numFmtId="10" fontId="7" fillId="2" borderId="0" xfId="0" applyNumberFormat="1" applyFont="1" applyFill="1" applyBorder="1"/>
    <xf numFmtId="10" fontId="7" fillId="2" borderId="4" xfId="0" applyNumberFormat="1" applyFont="1" applyFill="1" applyBorder="1"/>
    <xf numFmtId="10" fontId="7" fillId="2" borderId="5" xfId="0" applyNumberFormat="1" applyFont="1" applyFill="1" applyBorder="1"/>
    <xf numFmtId="10" fontId="7" fillId="2" borderId="3" xfId="0" applyNumberFormat="1" applyFont="1" applyFill="1" applyBorder="1"/>
    <xf numFmtId="5" fontId="7" fillId="2" borderId="4" xfId="0" applyNumberFormat="1" applyFont="1" applyFill="1" applyBorder="1"/>
    <xf numFmtId="5" fontId="14" fillId="0" borderId="0" xfId="3" applyNumberFormat="1" applyFont="1" applyFill="1" applyBorder="1"/>
    <xf numFmtId="37" fontId="7" fillId="2" borderId="0" xfId="9" applyNumberFormat="1" applyFont="1" applyFill="1" applyBorder="1" applyAlignment="1">
      <alignment horizontal="right"/>
    </xf>
    <xf numFmtId="37" fontId="7" fillId="0" borderId="0" xfId="0" applyNumberFormat="1" applyFont="1"/>
    <xf numFmtId="0" fontId="7" fillId="2" borderId="4" xfId="0" applyFont="1" applyFill="1" applyBorder="1"/>
    <xf numFmtId="2" fontId="7" fillId="2" borderId="0" xfId="0" applyNumberFormat="1" applyFont="1" applyFill="1" applyBorder="1"/>
    <xf numFmtId="10" fontId="7" fillId="2" borderId="0" xfId="10" applyFont="1"/>
    <xf numFmtId="5" fontId="7" fillId="0" borderId="0" xfId="0" quotePrefix="1" applyNumberFormat="1" applyFont="1" applyFill="1" applyAlignment="1">
      <alignment horizontal="left"/>
    </xf>
    <xf numFmtId="10" fontId="7" fillId="2" borderId="13" xfId="0" applyNumberFormat="1" applyFont="1" applyFill="1" applyBorder="1"/>
    <xf numFmtId="5" fontId="15" fillId="2" borderId="0" xfId="0" applyNumberFormat="1" applyFont="1" applyFill="1" applyAlignment="1"/>
    <xf numFmtId="0" fontId="15" fillId="2" borderId="2" xfId="0" applyFont="1" applyFill="1" applyBorder="1" applyAlignment="1"/>
    <xf numFmtId="5" fontId="15" fillId="2" borderId="0" xfId="0" applyNumberFormat="1" applyFont="1" applyFill="1"/>
    <xf numFmtId="5" fontId="15" fillId="2" borderId="0" xfId="0" applyNumberFormat="1" applyFont="1" applyFill="1" applyAlignment="1">
      <alignment horizontal="right"/>
    </xf>
    <xf numFmtId="5" fontId="15" fillId="2" borderId="2" xfId="0" applyNumberFormat="1" applyFont="1" applyFill="1" applyBorder="1"/>
    <xf numFmtId="0" fontId="15" fillId="2" borderId="2" xfId="0" applyFont="1" applyFill="1" applyBorder="1"/>
    <xf numFmtId="0" fontId="15" fillId="2" borderId="0" xfId="0" applyNumberFormat="1" applyFont="1" applyFill="1"/>
    <xf numFmtId="0" fontId="15" fillId="2" borderId="8" xfId="0" applyNumberFormat="1" applyFont="1" applyFill="1" applyBorder="1"/>
    <xf numFmtId="5" fontId="15" fillId="2" borderId="0" xfId="0" applyNumberFormat="1" applyFont="1" applyFill="1" applyAlignment="1">
      <alignment horizontal="center"/>
    </xf>
    <xf numFmtId="5" fontId="15" fillId="2" borderId="2" xfId="0" applyNumberFormat="1" applyFont="1" applyFill="1" applyBorder="1" applyAlignment="1">
      <alignment horizontal="center"/>
    </xf>
    <xf numFmtId="15" fontId="15" fillId="2" borderId="0" xfId="0" applyNumberFormat="1" applyFont="1" applyFill="1" applyAlignment="1">
      <alignment horizontal="right" vertical="center"/>
    </xf>
    <xf numFmtId="5" fontId="15" fillId="2" borderId="2" xfId="0" applyNumberFormat="1" applyFont="1" applyFill="1" applyBorder="1" applyAlignment="1">
      <alignment horizontal="right"/>
    </xf>
    <xf numFmtId="0" fontId="15" fillId="2" borderId="0" xfId="0" applyNumberFormat="1" applyFont="1" applyFill="1" applyAlignment="1">
      <alignment horizontal="right"/>
    </xf>
    <xf numFmtId="0" fontId="15" fillId="2" borderId="8" xfId="0" applyNumberFormat="1" applyFont="1" applyFill="1" applyBorder="1" applyAlignment="1">
      <alignment horizontal="right"/>
    </xf>
    <xf numFmtId="15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/>
    </xf>
    <xf numFmtId="10" fontId="16" fillId="2" borderId="0" xfId="0" quotePrefix="1" applyNumberFormat="1" applyFont="1" applyFill="1" applyAlignment="1">
      <alignment horizontal="right"/>
    </xf>
    <xf numFmtId="10" fontId="16" fillId="2" borderId="0" xfId="0" applyNumberFormat="1" applyFont="1" applyFill="1" applyBorder="1" applyAlignment="1">
      <alignment horizontal="right"/>
    </xf>
    <xf numFmtId="10" fontId="16" fillId="2" borderId="8" xfId="0" applyNumberFormat="1" applyFont="1" applyFill="1" applyBorder="1" applyAlignment="1">
      <alignment horizontal="right"/>
    </xf>
    <xf numFmtId="10" fontId="16" fillId="2" borderId="0" xfId="0" applyNumberFormat="1" applyFont="1" applyFill="1" applyAlignment="1">
      <alignment horizontal="right"/>
    </xf>
    <xf numFmtId="10" fontId="16" fillId="2" borderId="2" xfId="0" applyNumberFormat="1" applyFont="1" applyFill="1" applyBorder="1" applyAlignment="1">
      <alignment horizontal="right"/>
    </xf>
    <xf numFmtId="5" fontId="7" fillId="0" borderId="0" xfId="0" applyNumberFormat="1" applyFont="1" applyFill="1" applyBorder="1"/>
    <xf numFmtId="5" fontId="7" fillId="2" borderId="8" xfId="0" applyNumberFormat="1" applyFont="1" applyFill="1" applyBorder="1"/>
    <xf numFmtId="3" fontId="7" fillId="2" borderId="0" xfId="1" quotePrefix="1" applyNumberFormat="1"/>
    <xf numFmtId="0" fontId="15" fillId="2" borderId="2" xfId="0" applyNumberFormat="1" applyFont="1" applyFill="1" applyBorder="1"/>
    <xf numFmtId="0" fontId="7" fillId="2" borderId="8" xfId="1" applyNumberFormat="1" applyBorder="1"/>
    <xf numFmtId="5" fontId="11" fillId="2" borderId="0" xfId="0" applyNumberFormat="1" applyFont="1" applyFill="1" applyAlignment="1"/>
    <xf numFmtId="5" fontId="13" fillId="2" borderId="0" xfId="0" applyNumberFormat="1" applyFont="1" applyFill="1" applyBorder="1"/>
    <xf numFmtId="38" fontId="7" fillId="2" borderId="0" xfId="1" applyNumberFormat="1"/>
    <xf numFmtId="38" fontId="15" fillId="2" borderId="0" xfId="1" applyNumberFormat="1" applyFont="1"/>
    <xf numFmtId="38" fontId="7" fillId="0" borderId="0" xfId="1" applyNumberFormat="1" applyFill="1"/>
    <xf numFmtId="38" fontId="7" fillId="2" borderId="0" xfId="1" quotePrefix="1" applyNumberFormat="1"/>
    <xf numFmtId="38" fontId="7" fillId="2" borderId="8" xfId="1" applyNumberFormat="1" applyBorder="1"/>
    <xf numFmtId="38" fontId="3" fillId="2" borderId="0" xfId="0" applyNumberFormat="1" applyFont="1" applyFill="1"/>
    <xf numFmtId="38" fontId="0" fillId="2" borderId="0" xfId="0" applyNumberFormat="1" applyFill="1"/>
    <xf numFmtId="38" fontId="7" fillId="2" borderId="0" xfId="0" applyNumberFormat="1" applyFont="1" applyFill="1"/>
    <xf numFmtId="38" fontId="7" fillId="2" borderId="13" xfId="1" applyNumberFormat="1" applyBorder="1"/>
    <xf numFmtId="38" fontId="7" fillId="2" borderId="5" xfId="1" applyNumberFormat="1" applyBorder="1"/>
    <xf numFmtId="38" fontId="6" fillId="2" borderId="0" xfId="0" applyNumberFormat="1" applyFont="1" applyFill="1"/>
    <xf numFmtId="38" fontId="7" fillId="0" borderId="8" xfId="1" applyNumberFormat="1" applyFill="1" applyBorder="1"/>
    <xf numFmtId="38" fontId="7" fillId="0" borderId="13" xfId="1" applyNumberFormat="1" applyFill="1" applyBorder="1"/>
    <xf numFmtId="38" fontId="7" fillId="5" borderId="0" xfId="1" applyNumberFormat="1" applyFill="1"/>
    <xf numFmtId="10" fontId="7" fillId="2" borderId="0" xfId="10" applyNumberFormat="1" applyFont="1" applyProtection="1">
      <protection locked="0"/>
    </xf>
    <xf numFmtId="38" fontId="7" fillId="2" borderId="8" xfId="1" quotePrefix="1" applyNumberFormat="1" applyBorder="1"/>
    <xf numFmtId="38" fontId="7" fillId="0" borderId="0" xfId="1" quotePrefix="1" applyNumberFormat="1" applyFill="1"/>
    <xf numFmtId="38" fontId="7" fillId="0" borderId="5" xfId="1" applyNumberFormat="1" applyFill="1" applyBorder="1"/>
    <xf numFmtId="5" fontId="7" fillId="0" borderId="0" xfId="0" applyNumberFormat="1" applyFont="1" applyFill="1"/>
    <xf numFmtId="5" fontId="6" fillId="2" borderId="8" xfId="0" applyNumberFormat="1" applyFont="1" applyFill="1" applyBorder="1"/>
    <xf numFmtId="3" fontId="7" fillId="2" borderId="10" xfId="1" applyNumberFormat="1" applyBorder="1"/>
    <xf numFmtId="3" fontId="7" fillId="2" borderId="6" xfId="1" applyNumberFormat="1" applyBorder="1" applyAlignment="1">
      <alignment horizontal="right"/>
    </xf>
    <xf numFmtId="3" fontId="7" fillId="2" borderId="6" xfId="1" applyNumberFormat="1" applyBorder="1"/>
    <xf numFmtId="3" fontId="7" fillId="2" borderId="12" xfId="1" applyNumberFormat="1" applyBorder="1"/>
    <xf numFmtId="3" fontId="7" fillId="2" borderId="14" xfId="1" applyNumberFormat="1" applyBorder="1"/>
    <xf numFmtId="10" fontId="3" fillId="2" borderId="0" xfId="10" applyFont="1"/>
    <xf numFmtId="0" fontId="7" fillId="2" borderId="8" xfId="0" applyNumberFormat="1" applyFont="1" applyFill="1" applyBorder="1"/>
    <xf numFmtId="3" fontId="7" fillId="2" borderId="8" xfId="1" applyNumberFormat="1" applyBorder="1"/>
    <xf numFmtId="3" fontId="7" fillId="2" borderId="7" xfId="1" applyNumberFormat="1" applyBorder="1"/>
    <xf numFmtId="3" fontId="7" fillId="2" borderId="0" xfId="1" applyNumberFormat="1" applyBorder="1"/>
    <xf numFmtId="3" fontId="7" fillId="2" borderId="5" xfId="1" applyNumberFormat="1" applyBorder="1"/>
    <xf numFmtId="3" fontId="7" fillId="2" borderId="15" xfId="1" applyNumberFormat="1" applyBorder="1"/>
    <xf numFmtId="10" fontId="7" fillId="0" borderId="0" xfId="0" applyNumberFormat="1" applyFont="1" applyFill="1" applyBorder="1"/>
    <xf numFmtId="5" fontId="7" fillId="2" borderId="2" xfId="0" applyNumberFormat="1" applyFont="1" applyFill="1" applyBorder="1" applyAlignment="1">
      <alignment horizontal="right"/>
    </xf>
    <xf numFmtId="5" fontId="7" fillId="2" borderId="0" xfId="0" applyNumberFormat="1" applyFont="1" applyFill="1" applyBorder="1" applyAlignment="1">
      <alignment horizontal="right"/>
    </xf>
    <xf numFmtId="5" fontId="3" fillId="2" borderId="0" xfId="0" applyNumberFormat="1" applyFont="1" applyFill="1" applyAlignment="1">
      <alignment horizontal="right"/>
    </xf>
    <xf numFmtId="0" fontId="15" fillId="2" borderId="8" xfId="1" quotePrefix="1" applyNumberFormat="1" applyFont="1" applyBorder="1" applyAlignment="1">
      <alignment horizontal="center"/>
    </xf>
    <xf numFmtId="0" fontId="15" fillId="2" borderId="0" xfId="1" quotePrefix="1" applyNumberFormat="1" applyFont="1" applyBorder="1" applyAlignment="1">
      <alignment horizontal="left"/>
    </xf>
    <xf numFmtId="10" fontId="7" fillId="2" borderId="0" xfId="10" applyNumberFormat="1" applyFont="1"/>
    <xf numFmtId="10" fontId="7" fillId="2" borderId="8" xfId="10" applyNumberFormat="1" applyFont="1" applyBorder="1"/>
    <xf numFmtId="10" fontId="7" fillId="2" borderId="13" xfId="10" applyNumberFormat="1" applyFont="1" applyBorder="1"/>
    <xf numFmtId="10" fontId="7" fillId="2" borderId="5" xfId="10" applyNumberFormat="1" applyFont="1" applyBorder="1"/>
    <xf numFmtId="10" fontId="7" fillId="2" borderId="6" xfId="10" applyNumberFormat="1" applyFont="1" applyBorder="1"/>
    <xf numFmtId="10" fontId="7" fillId="2" borderId="10" xfId="10" applyNumberFormat="1" applyFont="1" applyBorder="1"/>
    <xf numFmtId="10" fontId="7" fillId="2" borderId="12" xfId="10" applyNumberFormat="1" applyFont="1" applyBorder="1"/>
    <xf numFmtId="10" fontId="7" fillId="2" borderId="14" xfId="10" applyNumberFormat="1" applyFont="1" applyBorder="1"/>
    <xf numFmtId="3" fontId="7" fillId="2" borderId="6" xfId="1" applyNumberFormat="1" applyFont="1" applyBorder="1"/>
    <xf numFmtId="3" fontId="7" fillId="2" borderId="10" xfId="1" applyNumberFormat="1" applyFont="1" applyBorder="1"/>
    <xf numFmtId="3" fontId="7" fillId="2" borderId="8" xfId="1" applyNumberFormat="1" applyFont="1" applyBorder="1"/>
    <xf numFmtId="3" fontId="7" fillId="2" borderId="0" xfId="1" applyNumberFormat="1" applyFont="1" applyBorder="1"/>
    <xf numFmtId="3" fontId="7" fillId="2" borderId="11" xfId="1" applyNumberFormat="1" applyFont="1" applyBorder="1"/>
    <xf numFmtId="5" fontId="15" fillId="2" borderId="0" xfId="1" quotePrefix="1" applyNumberFormat="1" applyFont="1" applyBorder="1" applyAlignment="1">
      <alignment horizontal="left"/>
    </xf>
    <xf numFmtId="3" fontId="7" fillId="2" borderId="0" xfId="1" applyNumberFormat="1" applyBorder="1" applyAlignment="1">
      <alignment horizontal="right"/>
    </xf>
    <xf numFmtId="0" fontId="15" fillId="2" borderId="8" xfId="1" quotePrefix="1" applyNumberFormat="1" applyFont="1" applyBorder="1" applyAlignment="1">
      <alignment horizontal="left"/>
    </xf>
    <xf numFmtId="10" fontId="7" fillId="2" borderId="8" xfId="0" applyNumberFormat="1" applyFont="1" applyFill="1" applyBorder="1" applyAlignment="1">
      <alignment horizontal="right"/>
    </xf>
    <xf numFmtId="10" fontId="7" fillId="2" borderId="8" xfId="10" applyFont="1" applyBorder="1"/>
    <xf numFmtId="10" fontId="7" fillId="2" borderId="5" xfId="10" applyFont="1" applyBorder="1"/>
    <xf numFmtId="10" fontId="7" fillId="2" borderId="13" xfId="10" applyFont="1" applyBorder="1"/>
    <xf numFmtId="3" fontId="15" fillId="2" borderId="0" xfId="1" applyNumberFormat="1" applyFont="1" applyAlignment="1">
      <alignment horizontal="right"/>
    </xf>
    <xf numFmtId="3" fontId="15" fillId="2" borderId="6" xfId="1" applyNumberFormat="1" applyFont="1" applyBorder="1" applyAlignment="1">
      <alignment horizontal="right"/>
    </xf>
    <xf numFmtId="10" fontId="15" fillId="2" borderId="0" xfId="0" applyNumberFormat="1" applyFont="1" applyFill="1" applyAlignment="1">
      <alignment horizontal="right"/>
    </xf>
    <xf numFmtId="0" fontId="15" fillId="2" borderId="10" xfId="1" quotePrefix="1" applyNumberFormat="1" applyFont="1" applyBorder="1"/>
    <xf numFmtId="10" fontId="15" fillId="2" borderId="2" xfId="0" applyNumberFormat="1" applyFont="1" applyFill="1" applyBorder="1" applyAlignment="1">
      <alignment horizontal="right"/>
    </xf>
    <xf numFmtId="0" fontId="7" fillId="2" borderId="0" xfId="1" quotePrefix="1" applyNumberFormat="1" applyFont="1" applyBorder="1" applyAlignment="1">
      <alignment horizontal="left"/>
    </xf>
    <xf numFmtId="0" fontId="15" fillId="2" borderId="10" xfId="1" applyNumberFormat="1" applyFont="1" applyBorder="1"/>
    <xf numFmtId="5" fontId="7" fillId="2" borderId="0" xfId="1" quotePrefix="1" applyNumberFormat="1" applyFont="1" applyBorder="1" applyAlignment="1">
      <alignment horizontal="left"/>
    </xf>
    <xf numFmtId="5" fontId="13" fillId="2" borderId="0" xfId="1" quotePrefix="1" applyNumberFormat="1" applyFont="1" applyBorder="1" applyAlignment="1">
      <alignment horizontal="left"/>
    </xf>
    <xf numFmtId="10" fontId="7" fillId="0" borderId="6" xfId="10" applyNumberFormat="1" applyFont="1" applyFill="1" applyBorder="1"/>
    <xf numFmtId="10" fontId="7" fillId="0" borderId="0" xfId="10" applyNumberFormat="1" applyFont="1" applyFill="1"/>
    <xf numFmtId="3" fontId="7" fillId="2" borderId="10" xfId="1" applyNumberFormat="1" applyBorder="1" applyAlignment="1">
      <alignment horizontal="right"/>
    </xf>
    <xf numFmtId="5" fontId="7" fillId="2" borderId="2" xfId="0" applyNumberFormat="1" applyFont="1" applyFill="1" applyBorder="1"/>
    <xf numFmtId="3" fontId="7" fillId="2" borderId="0" xfId="1" applyNumberFormat="1" applyFont="1"/>
    <xf numFmtId="7" fontId="6" fillId="2" borderId="0" xfId="0" applyNumberFormat="1" applyFont="1" applyFill="1" applyBorder="1"/>
    <xf numFmtId="4" fontId="7" fillId="2" borderId="6" xfId="1" applyBorder="1"/>
    <xf numFmtId="10" fontId="7" fillId="2" borderId="6" xfId="10" applyFont="1" applyBorder="1"/>
    <xf numFmtId="4" fontId="7" fillId="2" borderId="6" xfId="1" applyFont="1" applyBorder="1"/>
    <xf numFmtId="10" fontId="4" fillId="2" borderId="0" xfId="0" applyNumberFormat="1" applyFont="1" applyFill="1" applyAlignment="1">
      <alignment horizontal="right"/>
    </xf>
    <xf numFmtId="10" fontId="4" fillId="2" borderId="2" xfId="0" applyNumberFormat="1" applyFont="1" applyFill="1" applyBorder="1" applyAlignment="1">
      <alignment horizontal="right"/>
    </xf>
    <xf numFmtId="5" fontId="3" fillId="2" borderId="0" xfId="0" applyNumberFormat="1" applyFont="1" applyFill="1" applyAlignment="1">
      <alignment horizontal="center"/>
    </xf>
    <xf numFmtId="10" fontId="7" fillId="0" borderId="0" xfId="0" applyNumberFormat="1" applyFont="1" applyFill="1"/>
    <xf numFmtId="3" fontId="7" fillId="0" borderId="0" xfId="1" applyNumberFormat="1" applyFill="1"/>
    <xf numFmtId="3" fontId="7" fillId="0" borderId="7" xfId="1" applyNumberFormat="1" applyFill="1" applyBorder="1"/>
    <xf numFmtId="3" fontId="7" fillId="0" borderId="8" xfId="1" applyNumberFormat="1" applyFill="1" applyBorder="1"/>
    <xf numFmtId="10" fontId="7" fillId="0" borderId="8" xfId="0" applyNumberFormat="1" applyFont="1" applyFill="1" applyBorder="1"/>
    <xf numFmtId="10" fontId="7" fillId="0" borderId="13" xfId="0" applyNumberFormat="1" applyFont="1" applyFill="1" applyBorder="1"/>
    <xf numFmtId="3" fontId="7" fillId="0" borderId="15" xfId="1" applyNumberFormat="1" applyFill="1" applyBorder="1"/>
    <xf numFmtId="3" fontId="7" fillId="0" borderId="5" xfId="1" applyNumberFormat="1" applyFill="1" applyBorder="1"/>
    <xf numFmtId="10" fontId="7" fillId="0" borderId="17" xfId="0" applyNumberFormat="1" applyFont="1" applyFill="1" applyBorder="1"/>
    <xf numFmtId="5" fontId="6" fillId="0" borderId="0" xfId="0" applyNumberFormat="1" applyFont="1" applyFill="1" applyBorder="1"/>
    <xf numFmtId="10" fontId="15" fillId="2" borderId="0" xfId="0" applyNumberFormat="1" applyFont="1" applyFill="1" applyAlignment="1"/>
    <xf numFmtId="0" fontId="3" fillId="2" borderId="8" xfId="0" applyNumberFormat="1" applyFont="1" applyFill="1" applyBorder="1"/>
    <xf numFmtId="4" fontId="7" fillId="2" borderId="0" xfId="1" quotePrefix="1"/>
    <xf numFmtId="10" fontId="7" fillId="0" borderId="0" xfId="10" applyFont="1" applyFill="1"/>
    <xf numFmtId="0" fontId="7" fillId="2" borderId="10" xfId="1" applyNumberFormat="1" applyBorder="1"/>
    <xf numFmtId="10" fontId="3" fillId="0" borderId="0" xfId="10" applyFont="1" applyFill="1"/>
    <xf numFmtId="10" fontId="7" fillId="0" borderId="2" xfId="0" applyNumberFormat="1" applyFont="1" applyFill="1" applyBorder="1"/>
    <xf numFmtId="10" fontId="7" fillId="0" borderId="4" xfId="0" applyNumberFormat="1" applyFont="1" applyFill="1" applyBorder="1"/>
    <xf numFmtId="38" fontId="7" fillId="2" borderId="6" xfId="1" applyNumberFormat="1" applyBorder="1"/>
    <xf numFmtId="38" fontId="7" fillId="2" borderId="10" xfId="1" applyNumberFormat="1" applyBorder="1"/>
    <xf numFmtId="38" fontId="6" fillId="2" borderId="0" xfId="0" applyNumberFormat="1" applyFont="1" applyFill="1" applyBorder="1"/>
    <xf numFmtId="38" fontId="7" fillId="2" borderId="16" xfId="1" applyNumberFormat="1" applyBorder="1"/>
    <xf numFmtId="38" fontId="7" fillId="2" borderId="0" xfId="1" applyNumberFormat="1" applyBorder="1"/>
    <xf numFmtId="38" fontId="6" fillId="0" borderId="0" xfId="0" applyNumberFormat="1" applyFont="1" applyFill="1"/>
    <xf numFmtId="38" fontId="7" fillId="2" borderId="9" xfId="1" applyNumberFormat="1" applyBorder="1"/>
    <xf numFmtId="38" fontId="6" fillId="2" borderId="6" xfId="0" applyNumberFormat="1" applyFont="1" applyFill="1" applyBorder="1"/>
    <xf numFmtId="38" fontId="7" fillId="2" borderId="14" xfId="1" applyNumberFormat="1" applyBorder="1"/>
    <xf numFmtId="38" fontId="7" fillId="0" borderId="0" xfId="1" applyNumberFormat="1" applyFill="1" applyBorder="1"/>
    <xf numFmtId="10" fontId="16" fillId="0" borderId="0" xfId="0" applyNumberFormat="1" applyFont="1" applyFill="1" applyAlignment="1">
      <alignment horizontal="right"/>
    </xf>
    <xf numFmtId="10" fontId="16" fillId="0" borderId="2" xfId="0" applyNumberFormat="1" applyFont="1" applyFill="1" applyBorder="1" applyAlignment="1">
      <alignment horizontal="right"/>
    </xf>
    <xf numFmtId="10" fontId="7" fillId="0" borderId="5" xfId="0" applyNumberFormat="1" applyFont="1" applyFill="1" applyBorder="1"/>
    <xf numFmtId="10" fontId="7" fillId="2" borderId="0" xfId="10" applyNumberFormat="1" applyFont="1" applyBorder="1"/>
    <xf numFmtId="10" fontId="7" fillId="2" borderId="18" xfId="10" applyNumberFormat="1" applyFont="1" applyBorder="1"/>
    <xf numFmtId="3" fontId="7" fillId="2" borderId="18" xfId="1" applyNumberFormat="1" applyBorder="1" applyAlignment="1">
      <alignment horizontal="right"/>
    </xf>
    <xf numFmtId="0" fontId="7" fillId="2" borderId="7" xfId="1" applyNumberFormat="1" applyBorder="1"/>
    <xf numFmtId="3" fontId="7" fillId="2" borderId="18" xfId="1" applyNumberFormat="1" applyBorder="1"/>
    <xf numFmtId="10" fontId="7" fillId="2" borderId="18" xfId="10" applyFont="1" applyBorder="1"/>
    <xf numFmtId="10" fontId="7" fillId="2" borderId="7" xfId="10" applyFont="1" applyBorder="1"/>
    <xf numFmtId="3" fontId="7" fillId="2" borderId="18" xfId="1" applyNumberFormat="1" applyFont="1" applyBorder="1"/>
    <xf numFmtId="10" fontId="7" fillId="2" borderId="16" xfId="10" applyFont="1" applyBorder="1"/>
    <xf numFmtId="10" fontId="7" fillId="2" borderId="15" xfId="10" applyFont="1" applyBorder="1"/>
    <xf numFmtId="3" fontId="7" fillId="2" borderId="19" xfId="1" applyNumberFormat="1" applyFont="1" applyBorder="1"/>
    <xf numFmtId="10" fontId="7" fillId="0" borderId="18" xfId="10" applyFont="1" applyFill="1" applyBorder="1"/>
    <xf numFmtId="3" fontId="7" fillId="2" borderId="13" xfId="1" applyNumberFormat="1" applyBorder="1"/>
    <xf numFmtId="3" fontId="7" fillId="2" borderId="17" xfId="1" applyNumberFormat="1" applyBorder="1"/>
    <xf numFmtId="5" fontId="6" fillId="2" borderId="19" xfId="0" applyNumberFormat="1" applyFont="1" applyFill="1" applyBorder="1"/>
    <xf numFmtId="5" fontId="6" fillId="0" borderId="18" xfId="0" applyNumberFormat="1" applyFont="1" applyFill="1" applyBorder="1"/>
    <xf numFmtId="5" fontId="6" fillId="2" borderId="18" xfId="0" applyNumberFormat="1" applyFont="1" applyFill="1" applyBorder="1"/>
    <xf numFmtId="3" fontId="7" fillId="0" borderId="18" xfId="1" applyNumberFormat="1" applyFill="1" applyBorder="1"/>
    <xf numFmtId="38" fontId="7" fillId="2" borderId="7" xfId="1" applyNumberFormat="1" applyBorder="1"/>
    <xf numFmtId="38" fontId="7" fillId="2" borderId="7" xfId="0" applyNumberFormat="1" applyFont="1" applyFill="1" applyBorder="1"/>
    <xf numFmtId="38" fontId="7" fillId="2" borderId="8" xfId="0" applyNumberFormat="1" applyFont="1" applyFill="1" applyBorder="1"/>
    <xf numFmtId="5" fontId="13" fillId="0" borderId="0" xfId="0" applyNumberFormat="1" applyFont="1" applyFill="1"/>
    <xf numFmtId="5" fontId="11" fillId="2" borderId="0" xfId="0" applyNumberFormat="1" applyFont="1" applyFill="1" applyAlignment="1">
      <alignment horizontal="center"/>
    </xf>
    <xf numFmtId="5" fontId="12" fillId="2" borderId="0" xfId="0" applyNumberFormat="1" applyFont="1" applyFill="1" applyAlignment="1">
      <alignment horizontal="center"/>
    </xf>
    <xf numFmtId="167" fontId="12" fillId="2" borderId="0" xfId="0" applyNumberFormat="1" applyFont="1" applyFill="1" applyAlignment="1">
      <alignment horizontal="center"/>
    </xf>
    <xf numFmtId="10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9" fontId="15" fillId="2" borderId="0" xfId="0" applyNumberFormat="1" applyFont="1" applyFill="1" applyAlignment="1">
      <alignment horizontal="center"/>
    </xf>
    <xf numFmtId="0" fontId="2" fillId="2" borderId="0" xfId="1" quotePrefix="1" applyNumberFormat="1" applyFont="1" applyBorder="1" applyAlignment="1">
      <alignment horizontal="center"/>
    </xf>
    <xf numFmtId="0" fontId="2" fillId="2" borderId="0" xfId="1" applyNumberFormat="1" applyFont="1" applyBorder="1" applyAlignment="1">
      <alignment horizontal="center"/>
    </xf>
    <xf numFmtId="0" fontId="11" fillId="2" borderId="0" xfId="1" quotePrefix="1" applyNumberFormat="1" applyFont="1" applyBorder="1" applyAlignment="1">
      <alignment horizontal="center"/>
    </xf>
  </cellXfs>
  <cellStyles count="12">
    <cellStyle name="Comma" xfId="1" builtinId="3"/>
    <cellStyle name="Comma0" xfId="2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_Financial Cash flow" xfId="9"/>
    <cellStyle name="Percent" xfId="10" builtinId="5"/>
    <cellStyle name="Total" xfId="1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showGridLines="0" zoomScaleNormal="100" workbookViewId="0">
      <selection activeCell="U86" sqref="U86"/>
    </sheetView>
  </sheetViews>
  <sheetFormatPr defaultColWidth="13.7109375" defaultRowHeight="12.75"/>
  <cols>
    <col min="1" max="1" width="30.140625" style="37" customWidth="1"/>
    <col min="2" max="3" width="12.7109375" style="37" hidden="1" customWidth="1"/>
    <col min="4" max="9" width="12.7109375" customWidth="1"/>
    <col min="10" max="10" width="10.7109375" style="67" customWidth="1"/>
    <col min="11" max="11" width="1.7109375" style="1" customWidth="1"/>
    <col min="12" max="12" width="29.5703125" style="67" customWidth="1"/>
    <col min="13" max="14" width="11.140625" style="67" hidden="1" customWidth="1"/>
    <col min="15" max="20" width="11.140625" style="1" customWidth="1"/>
    <col min="21" max="21" width="10.7109375" style="67" customWidth="1"/>
    <col min="22" max="22" width="12.7109375" style="66" customWidth="1"/>
    <col min="23" max="24" width="11.140625" style="1" customWidth="1"/>
    <col min="25" max="27" width="13.7109375" customWidth="1"/>
    <col min="28" max="28" width="16.140625" customWidth="1"/>
    <col min="29" max="30" width="13.7109375" customWidth="1"/>
    <col min="31" max="38" width="12.7109375" customWidth="1"/>
  </cols>
  <sheetData>
    <row r="1" spans="1:30">
      <c r="D1" s="11"/>
      <c r="E1" s="11"/>
      <c r="F1" s="11"/>
      <c r="G1" s="11"/>
      <c r="H1" s="11"/>
      <c r="I1" s="11"/>
      <c r="J1" s="71" t="s">
        <v>88</v>
      </c>
      <c r="K1" s="15"/>
      <c r="L1" s="37"/>
      <c r="M1" s="37"/>
      <c r="N1" s="37"/>
      <c r="O1" s="11"/>
      <c r="P1" s="11"/>
      <c r="Q1" s="11"/>
      <c r="R1" s="11"/>
      <c r="S1" s="11"/>
      <c r="T1" s="11"/>
      <c r="U1" s="71" t="str">
        <f>J1</f>
        <v>Exhibit 1</v>
      </c>
      <c r="W1" s="15"/>
      <c r="X1" s="15"/>
    </row>
    <row r="2" spans="1:30">
      <c r="D2" s="11"/>
      <c r="E2" s="11"/>
      <c r="F2" s="11"/>
      <c r="G2" s="11"/>
      <c r="H2" s="11"/>
      <c r="I2" s="11"/>
      <c r="J2" s="72" t="s">
        <v>174</v>
      </c>
      <c r="K2" s="50"/>
      <c r="L2" s="37"/>
      <c r="M2" s="37"/>
      <c r="N2" s="37"/>
      <c r="O2" s="11"/>
      <c r="P2" s="11"/>
      <c r="Q2" s="11"/>
      <c r="R2" s="11"/>
      <c r="S2" s="11"/>
      <c r="T2" s="11"/>
      <c r="U2" s="72" t="s">
        <v>178</v>
      </c>
      <c r="V2" s="132"/>
      <c r="W2" s="50"/>
      <c r="X2" s="50"/>
    </row>
    <row r="3" spans="1:30" s="37" customFormat="1" ht="18">
      <c r="A3" s="269" t="str">
        <f>Assumptions!D3</f>
        <v>Deseret Generation &amp; Transmission</v>
      </c>
      <c r="B3" s="269"/>
      <c r="C3" s="269"/>
      <c r="D3" s="269"/>
      <c r="E3" s="269"/>
      <c r="F3" s="269"/>
      <c r="G3" s="269"/>
      <c r="H3" s="269"/>
      <c r="I3" s="269"/>
      <c r="J3" s="269"/>
      <c r="K3" s="76"/>
      <c r="L3" s="269" t="str">
        <f>A3</f>
        <v>Deseret Generation &amp; Transmission</v>
      </c>
      <c r="M3" s="269"/>
      <c r="N3" s="269"/>
      <c r="O3" s="269"/>
      <c r="P3" s="269"/>
      <c r="Q3" s="269"/>
      <c r="R3" s="269"/>
      <c r="S3" s="269"/>
      <c r="T3" s="269"/>
      <c r="U3" s="269"/>
      <c r="V3" s="66"/>
      <c r="W3" s="76"/>
      <c r="X3" s="76"/>
    </row>
    <row r="4" spans="1:30" s="37" customFormat="1" ht="15.75">
      <c r="A4" s="270" t="s">
        <v>56</v>
      </c>
      <c r="B4" s="270"/>
      <c r="C4" s="270"/>
      <c r="D4" s="270"/>
      <c r="E4" s="270"/>
      <c r="F4" s="270"/>
      <c r="G4" s="270"/>
      <c r="H4" s="270"/>
      <c r="I4" s="270"/>
      <c r="J4" s="270"/>
      <c r="K4" s="76"/>
      <c r="L4" s="270" t="s">
        <v>55</v>
      </c>
      <c r="M4" s="270"/>
      <c r="N4" s="270"/>
      <c r="O4" s="270"/>
      <c r="P4" s="270"/>
      <c r="Q4" s="270"/>
      <c r="R4" s="270"/>
      <c r="S4" s="270"/>
      <c r="T4" s="270"/>
      <c r="U4" s="270"/>
      <c r="V4" s="66"/>
      <c r="W4" s="76"/>
      <c r="X4" s="76"/>
    </row>
    <row r="5" spans="1:30" s="37" customFormat="1" ht="15.75">
      <c r="A5" s="271" t="s">
        <v>86</v>
      </c>
      <c r="B5" s="271"/>
      <c r="C5" s="271"/>
      <c r="D5" s="271"/>
      <c r="E5" s="271"/>
      <c r="F5" s="271"/>
      <c r="G5" s="271"/>
      <c r="H5" s="271"/>
      <c r="I5" s="271"/>
      <c r="J5" s="271"/>
      <c r="K5" s="76"/>
      <c r="L5" s="270" t="s">
        <v>56</v>
      </c>
      <c r="M5" s="270"/>
      <c r="N5" s="270"/>
      <c r="O5" s="270"/>
      <c r="P5" s="270"/>
      <c r="Q5" s="270"/>
      <c r="R5" s="270"/>
      <c r="S5" s="270"/>
      <c r="T5" s="270"/>
      <c r="U5" s="270"/>
      <c r="V5" s="66"/>
      <c r="W5" s="76"/>
      <c r="X5" s="76"/>
    </row>
    <row r="6" spans="1:30" ht="15.75">
      <c r="A6" s="228"/>
      <c r="B6" s="77"/>
      <c r="C6" s="77"/>
      <c r="D6" s="48"/>
      <c r="E6" s="48"/>
      <c r="F6" s="48"/>
      <c r="G6" s="48"/>
      <c r="H6" s="48"/>
      <c r="I6" s="48"/>
      <c r="K6" s="49"/>
      <c r="L6" s="74"/>
      <c r="M6" s="74"/>
      <c r="N6" s="74"/>
      <c r="O6" s="5"/>
      <c r="P6" s="5"/>
      <c r="Q6" s="5"/>
      <c r="R6" s="5"/>
      <c r="S6" s="5"/>
      <c r="T6" s="5"/>
      <c r="U6" s="75"/>
      <c r="W6" s="49"/>
      <c r="X6" s="49"/>
    </row>
    <row r="7" spans="1:30">
      <c r="A7" s="228"/>
      <c r="B7" s="107"/>
      <c r="C7" s="107"/>
      <c r="D7" s="110"/>
      <c r="E7" s="110"/>
      <c r="F7" s="110"/>
      <c r="G7" s="110"/>
      <c r="H7" s="110"/>
      <c r="I7" s="110"/>
      <c r="J7" s="125" t="s">
        <v>194</v>
      </c>
      <c r="K7" s="52"/>
      <c r="L7" s="69"/>
      <c r="M7" s="69"/>
      <c r="N7" s="69"/>
      <c r="O7" s="51"/>
      <c r="P7" s="51"/>
      <c r="Q7" s="51"/>
      <c r="R7" s="51"/>
      <c r="S7" s="51"/>
      <c r="T7" s="51"/>
      <c r="U7" s="76"/>
      <c r="W7" s="52"/>
      <c r="X7" s="52"/>
    </row>
    <row r="8" spans="1:30">
      <c r="A8" s="107"/>
      <c r="B8" s="107"/>
      <c r="C8" s="107"/>
      <c r="D8" s="110"/>
      <c r="E8" s="110"/>
      <c r="F8" s="122"/>
      <c r="G8" s="122"/>
      <c r="H8" s="122"/>
      <c r="I8" s="123"/>
      <c r="J8" s="126" t="s">
        <v>4</v>
      </c>
      <c r="K8" s="53"/>
      <c r="L8" s="109"/>
      <c r="M8" s="109"/>
      <c r="N8" s="109"/>
      <c r="O8" s="109"/>
      <c r="P8" s="110"/>
      <c r="Q8" s="119"/>
      <c r="R8" s="119"/>
      <c r="S8" s="119"/>
      <c r="T8" s="119"/>
      <c r="U8" s="128" t="str">
        <f>J7</f>
        <v>2005 to 2010</v>
      </c>
      <c r="W8" s="53"/>
      <c r="X8" s="53"/>
    </row>
    <row r="9" spans="1:30">
      <c r="A9" s="108" t="s">
        <v>0</v>
      </c>
      <c r="B9" s="108">
        <v>2003</v>
      </c>
      <c r="C9" s="108">
        <v>2004</v>
      </c>
      <c r="D9" s="124">
        <v>2005</v>
      </c>
      <c r="E9" s="124">
        <f>D9+1</f>
        <v>2006</v>
      </c>
      <c r="F9" s="120">
        <f>E9+1</f>
        <v>2007</v>
      </c>
      <c r="G9" s="120">
        <f>F9+1</f>
        <v>2008</v>
      </c>
      <c r="H9" s="120">
        <f>G9+1</f>
        <v>2009</v>
      </c>
      <c r="I9" s="120">
        <f>H9+1</f>
        <v>2010</v>
      </c>
      <c r="J9" s="127" t="s">
        <v>30</v>
      </c>
      <c r="K9" s="53"/>
      <c r="L9" s="111" t="s">
        <v>0</v>
      </c>
      <c r="M9" s="133">
        <f>+N9-1</f>
        <v>2003</v>
      </c>
      <c r="N9" s="133">
        <f>+O9-1</f>
        <v>2004</v>
      </c>
      <c r="O9" s="112">
        <f>D9</f>
        <v>2005</v>
      </c>
      <c r="P9" s="112">
        <f>O9+1</f>
        <v>2006</v>
      </c>
      <c r="Q9" s="120">
        <f>P9+1</f>
        <v>2007</v>
      </c>
      <c r="R9" s="120">
        <f>Q9+1</f>
        <v>2008</v>
      </c>
      <c r="S9" s="120">
        <f>R9+1</f>
        <v>2009</v>
      </c>
      <c r="T9" s="120">
        <f>S9+1</f>
        <v>2010</v>
      </c>
      <c r="U9" s="127" t="s">
        <v>51</v>
      </c>
      <c r="W9" s="53"/>
      <c r="X9" s="53"/>
    </row>
    <row r="10" spans="1:30" ht="7.5" customHeight="1">
      <c r="A10" s="73"/>
      <c r="B10" s="73"/>
      <c r="C10" s="73"/>
      <c r="D10" s="5"/>
      <c r="E10" s="5"/>
      <c r="F10" s="5"/>
      <c r="G10" s="5"/>
      <c r="H10" s="5"/>
      <c r="I10" s="5"/>
      <c r="J10" s="75"/>
      <c r="K10" s="6"/>
      <c r="L10" s="81"/>
      <c r="M10" s="81"/>
      <c r="N10" s="81"/>
      <c r="O10" s="92"/>
      <c r="P10" s="92"/>
      <c r="Q10" s="92"/>
      <c r="R10" s="92"/>
      <c r="S10" s="92"/>
      <c r="T10" s="92"/>
      <c r="U10" s="89"/>
      <c r="W10" s="6"/>
      <c r="X10" s="6"/>
    </row>
    <row r="11" spans="1:30">
      <c r="A11" s="78" t="s">
        <v>7</v>
      </c>
      <c r="B11" s="66"/>
      <c r="C11" s="66"/>
      <c r="D11" s="2"/>
      <c r="E11" s="2"/>
      <c r="F11" s="2"/>
      <c r="G11" s="2"/>
      <c r="H11" s="2"/>
      <c r="I11" s="2"/>
      <c r="K11" s="3"/>
      <c r="L11" s="78" t="str">
        <f t="shared" ref="L11:L18" si="0">A11</f>
        <v>Current Assets:</v>
      </c>
      <c r="M11" s="78"/>
      <c r="N11" s="78"/>
      <c r="O11" s="37"/>
      <c r="P11" s="37"/>
      <c r="Q11" s="37"/>
      <c r="R11" s="37"/>
      <c r="S11" s="37"/>
      <c r="T11" s="37"/>
      <c r="W11" s="3"/>
      <c r="X11" s="3"/>
      <c r="Z11" s="1"/>
      <c r="AA11" s="1"/>
      <c r="AB11" s="1"/>
      <c r="AC11" s="1"/>
      <c r="AD11" t="s">
        <v>82</v>
      </c>
    </row>
    <row r="12" spans="1:30">
      <c r="A12" s="37" t="s">
        <v>169</v>
      </c>
      <c r="B12" s="139">
        <f>-932740+215701+20614246</f>
        <v>19897207</v>
      </c>
      <c r="C12" s="139">
        <f>-3626700+674639+17485901</f>
        <v>14533840</v>
      </c>
      <c r="D12" s="137">
        <v>14533840</v>
      </c>
      <c r="E12" s="137">
        <v>10863863</v>
      </c>
      <c r="F12" s="137">
        <v>11860174</v>
      </c>
      <c r="G12" s="137">
        <v>13735665</v>
      </c>
      <c r="H12" s="137">
        <v>18221590</v>
      </c>
      <c r="I12" s="137">
        <v>14221212</v>
      </c>
      <c r="J12" s="67">
        <f>RATE(5,,-D12,I12)</f>
        <v>-4.3395708634315746E-3</v>
      </c>
      <c r="K12" s="3"/>
      <c r="L12" s="37" t="str">
        <f t="shared" si="0"/>
        <v xml:space="preserve">Unrestricted Cash </v>
      </c>
      <c r="M12" s="67">
        <f t="shared" ref="M12:M18" si="1">B12/B$36</f>
        <v>3.8722940930935201E-2</v>
      </c>
      <c r="N12" s="67">
        <f t="shared" ref="N12:N18" si="2">C12/C$36</f>
        <v>2.9012616664705889E-2</v>
      </c>
      <c r="O12" s="67">
        <f t="shared" ref="O12:S18" si="3">D12/D$36</f>
        <v>2.8592755981526687E-2</v>
      </c>
      <c r="P12" s="67">
        <f t="shared" si="3"/>
        <v>2.1719009900698732E-2</v>
      </c>
      <c r="Q12" s="67">
        <f>F12/F$36</f>
        <v>2.4754006598428038E-2</v>
      </c>
      <c r="R12" s="67">
        <f t="shared" si="3"/>
        <v>2.9336936556306505E-2</v>
      </c>
      <c r="S12" s="67">
        <f t="shared" si="3"/>
        <v>3.9597130055738505E-2</v>
      </c>
      <c r="T12" s="67">
        <f t="shared" ref="T12:T18" si="4">I12/I$36</f>
        <v>3.0894100880559338E-2</v>
      </c>
      <c r="U12" s="67">
        <f>SUM(D12:I12)/SUM(D$36:I$36)</f>
        <v>2.9007952027773187E-2</v>
      </c>
      <c r="W12" s="3"/>
      <c r="X12" s="3">
        <f>AVERAGE(R12:T12)</f>
        <v>3.3276055830868116E-2</v>
      </c>
      <c r="Y12" s="1"/>
      <c r="Z12" s="1"/>
      <c r="AA12" s="1"/>
      <c r="AB12" s="1"/>
      <c r="AC12" s="1"/>
      <c r="AD12" s="1"/>
    </row>
    <row r="13" spans="1:30">
      <c r="A13" s="37" t="s">
        <v>170</v>
      </c>
      <c r="B13" s="139"/>
      <c r="C13" s="139"/>
      <c r="D13" s="139">
        <f>24009879-14533840</f>
        <v>9476039</v>
      </c>
      <c r="E13" s="139">
        <f>8526941+26678837</f>
        <v>35205778</v>
      </c>
      <c r="F13" s="139">
        <f>43228495-F12</f>
        <v>31368321</v>
      </c>
      <c r="G13" s="139">
        <f>556321+50675936</f>
        <v>51232257</v>
      </c>
      <c r="H13" s="139">
        <f>116853+46788825</f>
        <v>46905678</v>
      </c>
      <c r="I13" s="139">
        <f>135538+56707077</f>
        <v>56842615</v>
      </c>
      <c r="J13" s="67">
        <f t="shared" ref="J13:J18" si="5">RATE(5,,-D13,I13)</f>
        <v>0.43090052139222734</v>
      </c>
      <c r="K13" s="3"/>
      <c r="L13" s="37" t="str">
        <f>+A13</f>
        <v>Restricted Deposits</v>
      </c>
      <c r="M13" s="67">
        <f t="shared" ref="M13" si="6">B13/B$36</f>
        <v>0</v>
      </c>
      <c r="N13" s="67">
        <f t="shared" ref="N13" si="7">C13/C$36</f>
        <v>0</v>
      </c>
      <c r="O13" s="216">
        <f t="shared" ref="O13" si="8">D13/D$36</f>
        <v>1.8642428346426695E-2</v>
      </c>
      <c r="P13" s="216">
        <f t="shared" ref="P13" si="9">E13/E$36</f>
        <v>7.0383310332963661E-2</v>
      </c>
      <c r="Q13" s="216">
        <f>F13/F$36</f>
        <v>6.5470508697056951E-2</v>
      </c>
      <c r="R13" s="216">
        <f t="shared" ref="R13" si="10">G13/G$36</f>
        <v>0.10942298558135991</v>
      </c>
      <c r="S13" s="216">
        <f t="shared" ref="S13" si="11">H13/H$36</f>
        <v>0.10193019556024432</v>
      </c>
      <c r="T13" s="216">
        <f t="shared" ref="T13" si="12">I13/I$36</f>
        <v>0.12348465673142313</v>
      </c>
      <c r="U13" s="67">
        <f t="shared" ref="U13:U17" si="13">SUM(D13:I13)/SUM(D$36:I$36)</f>
        <v>8.0321437795110417E-2</v>
      </c>
      <c r="W13" s="3"/>
      <c r="X13" s="3">
        <f>AVERAGE(S13:T13)</f>
        <v>0.11270742614583373</v>
      </c>
      <c r="Y13" s="1"/>
      <c r="Z13" s="1"/>
      <c r="AA13" s="1"/>
      <c r="AB13" s="1"/>
      <c r="AC13" s="1"/>
      <c r="AD13" s="1"/>
    </row>
    <row r="14" spans="1:30">
      <c r="A14" s="79" t="s">
        <v>85</v>
      </c>
      <c r="B14" s="153">
        <f>40179851+8682570-21991194+509849</f>
        <v>27381076</v>
      </c>
      <c r="C14" s="153">
        <f>9259492+36548293-19981830+280223</f>
        <v>26106178</v>
      </c>
      <c r="D14" s="139">
        <f>10273208+38366628-18201709</f>
        <v>30438127</v>
      </c>
      <c r="E14" s="139">
        <f>10725753+20996120</f>
        <v>31721873</v>
      </c>
      <c r="F14" s="139">
        <f>12106803+23032406</f>
        <v>35139209</v>
      </c>
      <c r="G14" s="139">
        <f>10528258+15910691</f>
        <v>26438949</v>
      </c>
      <c r="H14" s="139">
        <f>10424903+11802787+2053002</f>
        <v>24280692</v>
      </c>
      <c r="I14" s="137">
        <f>13272033+12778909+5771519</f>
        <v>31822461</v>
      </c>
      <c r="J14" s="67">
        <f t="shared" si="5"/>
        <v>8.9349527015245723E-3</v>
      </c>
      <c r="K14" s="3"/>
      <c r="L14" s="37" t="str">
        <f t="shared" si="0"/>
        <v>Accounts Receivable, net</v>
      </c>
      <c r="M14" s="67">
        <f t="shared" si="1"/>
        <v>5.328766939869739E-2</v>
      </c>
      <c r="N14" s="67">
        <f t="shared" si="2"/>
        <v>5.211344936331886E-2</v>
      </c>
      <c r="O14" s="216">
        <f t="shared" si="3"/>
        <v>5.9881623703420366E-2</v>
      </c>
      <c r="P14" s="216">
        <f t="shared" si="3"/>
        <v>6.3418295477005532E-2</v>
      </c>
      <c r="Q14" s="216">
        <f t="shared" si="3"/>
        <v>7.3340931713948038E-2</v>
      </c>
      <c r="R14" s="216">
        <f t="shared" si="3"/>
        <v>5.6468890980409268E-2</v>
      </c>
      <c r="S14" s="216">
        <f t="shared" si="3"/>
        <v>5.2764095722016E-2</v>
      </c>
      <c r="T14" s="216">
        <f t="shared" si="4"/>
        <v>6.9130979863155487E-2</v>
      </c>
      <c r="U14" s="67">
        <f t="shared" si="13"/>
        <v>6.2524648995884072E-2</v>
      </c>
      <c r="W14" s="3"/>
      <c r="X14" s="3">
        <f>+U14</f>
        <v>6.2524648995884072E-2</v>
      </c>
      <c r="Y14" s="30">
        <f>D14/D71</f>
        <v>0.14151722147628459</v>
      </c>
      <c r="Z14" s="30">
        <f>E14/E71</f>
        <v>0.14330163176724303</v>
      </c>
      <c r="AA14" s="30">
        <f>F14/F71</f>
        <v>0.14301924758427972</v>
      </c>
      <c r="AB14" s="30">
        <f>G14/G71</f>
        <v>9.7787411215191369E-2</v>
      </c>
      <c r="AC14" s="30">
        <f>I14/I71</f>
        <v>0.13644013917104192</v>
      </c>
      <c r="AD14" s="1">
        <f ca="1">AVERAGE(Y14:AD14)</f>
        <v>0.13241313024280812</v>
      </c>
    </row>
    <row r="15" spans="1:30">
      <c r="A15" s="80" t="s">
        <v>129</v>
      </c>
      <c r="B15" s="139">
        <v>7948496</v>
      </c>
      <c r="C15" s="139">
        <v>15155893</v>
      </c>
      <c r="D15" s="139">
        <v>19127243</v>
      </c>
      <c r="E15" s="139">
        <v>16435244</v>
      </c>
      <c r="F15" s="139">
        <v>11447867</v>
      </c>
      <c r="G15" s="139">
        <v>12430335</v>
      </c>
      <c r="H15" s="139">
        <v>23509169</v>
      </c>
      <c r="I15" s="137">
        <v>23089591</v>
      </c>
      <c r="J15" s="67">
        <f t="shared" si="5"/>
        <v>3.8371531863770708E-2</v>
      </c>
      <c r="K15" s="3"/>
      <c r="L15" s="37" t="str">
        <f>+A15</f>
        <v>Fuel Stock</v>
      </c>
      <c r="M15" s="67">
        <f t="shared" si="1"/>
        <v>1.5468962105976718E-2</v>
      </c>
      <c r="N15" s="67">
        <f t="shared" si="2"/>
        <v>3.0254365936345749E-2</v>
      </c>
      <c r="O15" s="216">
        <f t="shared" ref="O15" si="14">D15/D$36</f>
        <v>3.7629462805312604E-2</v>
      </c>
      <c r="P15" s="216">
        <f t="shared" ref="P15" si="15">E15/E$36</f>
        <v>3.2857301970431643E-2</v>
      </c>
      <c r="Q15" s="216">
        <f t="shared" ref="Q15" si="16">F15/F$36</f>
        <v>2.3893458498663391E-2</v>
      </c>
      <c r="R15" s="216">
        <f t="shared" ref="R15" si="17">G15/G$36</f>
        <v>2.6548983923867991E-2</v>
      </c>
      <c r="S15" s="216">
        <f t="shared" ref="S15" si="18">H15/H$36</f>
        <v>5.1087507862669281E-2</v>
      </c>
      <c r="T15" s="216">
        <f t="shared" ref="T15" si="19">I15/I$36</f>
        <v>5.0159729961472693E-2</v>
      </c>
      <c r="U15" s="67">
        <f t="shared" si="13"/>
        <v>3.6866275560246277E-2</v>
      </c>
      <c r="W15" s="3"/>
      <c r="X15" s="3">
        <f>(+T15+S15)/2</f>
        <v>5.0623618912070983E-2</v>
      </c>
      <c r="Y15" s="30"/>
      <c r="Z15" s="30"/>
      <c r="AA15" s="30"/>
      <c r="AB15" s="30"/>
      <c r="AC15" s="30"/>
      <c r="AD15" s="1"/>
    </row>
    <row r="16" spans="1:30">
      <c r="A16" s="105" t="s">
        <v>83</v>
      </c>
      <c r="B16" s="153">
        <f>11430828+1800</f>
        <v>11432628</v>
      </c>
      <c r="C16" s="153">
        <f>13850241+1800</f>
        <v>13852041</v>
      </c>
      <c r="D16" s="137">
        <f>14574069+1800</f>
        <v>14575869</v>
      </c>
      <c r="E16" s="137">
        <f>15980560+1800</f>
        <v>15982360</v>
      </c>
      <c r="F16" s="137">
        <f>16467634+1800</f>
        <v>16469434</v>
      </c>
      <c r="G16" s="137">
        <f>18172459+1800</f>
        <v>18174259</v>
      </c>
      <c r="H16" s="137">
        <f>17597090+1800</f>
        <v>17598890</v>
      </c>
      <c r="I16" s="137">
        <v>17630718</v>
      </c>
      <c r="J16" s="67">
        <f t="shared" si="5"/>
        <v>3.8788441229228629E-2</v>
      </c>
      <c r="K16" s="3"/>
      <c r="L16" s="37" t="str">
        <f t="shared" si="0"/>
        <v>Material and Supplies</v>
      </c>
      <c r="M16" s="67">
        <f t="shared" si="1"/>
        <v>2.2249604114253616E-2</v>
      </c>
      <c r="N16" s="67">
        <f t="shared" si="2"/>
        <v>2.7651601748525455E-2</v>
      </c>
      <c r="O16" s="216">
        <f t="shared" si="3"/>
        <v>2.8675440594894359E-2</v>
      </c>
      <c r="P16" s="216">
        <f t="shared" si="3"/>
        <v>3.1951897320182644E-2</v>
      </c>
      <c r="Q16" s="216">
        <f t="shared" si="3"/>
        <v>3.4374240876092969E-2</v>
      </c>
      <c r="R16" s="216">
        <f t="shared" si="3"/>
        <v>3.8816983614618036E-2</v>
      </c>
      <c r="S16" s="216">
        <f t="shared" si="3"/>
        <v>3.8243947765625057E-2</v>
      </c>
      <c r="T16" s="216">
        <f t="shared" si="4"/>
        <v>3.8300897313723568E-2</v>
      </c>
      <c r="U16" s="67">
        <f t="shared" si="13"/>
        <v>3.4916594671452326E-2</v>
      </c>
      <c r="W16" s="3"/>
      <c r="X16" s="3">
        <f>AVERAGE(R16:T16)</f>
        <v>3.8453942897988889E-2</v>
      </c>
    </row>
    <row r="17" spans="1:27">
      <c r="A17" s="37" t="s">
        <v>29</v>
      </c>
      <c r="B17" s="148">
        <f>1640716+10853</f>
        <v>1651569</v>
      </c>
      <c r="C17" s="148">
        <f>1520861+1261140+92</f>
        <v>2782093</v>
      </c>
      <c r="D17" s="141">
        <f>3782573+1318408+991845</f>
        <v>6092826</v>
      </c>
      <c r="E17" s="141">
        <f>3728637+1503226+0+205029</f>
        <v>5436892</v>
      </c>
      <c r="F17" s="141">
        <f>2109079+1482902+209443+23150</f>
        <v>3824574</v>
      </c>
      <c r="G17" s="141">
        <f>1649605+1647814+177932</f>
        <v>3475351</v>
      </c>
      <c r="H17" s="141">
        <f>3248860+206070</f>
        <v>3454930</v>
      </c>
      <c r="I17" s="141">
        <v>1758984</v>
      </c>
      <c r="J17" s="68">
        <f t="shared" si="5"/>
        <v>-0.22001074011553348</v>
      </c>
      <c r="K17" s="3"/>
      <c r="L17" s="37" t="str">
        <f t="shared" si="0"/>
        <v>Other Current Assets</v>
      </c>
      <c r="M17" s="93">
        <f t="shared" si="1"/>
        <v>3.2142003061215434E-3</v>
      </c>
      <c r="N17" s="93">
        <f t="shared" si="2"/>
        <v>5.5536456803268507E-3</v>
      </c>
      <c r="O17" s="93">
        <f t="shared" si="3"/>
        <v>1.1986556000059264E-2</v>
      </c>
      <c r="P17" s="93">
        <f t="shared" si="3"/>
        <v>1.0869421970530162E-2</v>
      </c>
      <c r="Q17" s="93">
        <f t="shared" si="3"/>
        <v>7.9824739529265176E-3</v>
      </c>
      <c r="R17" s="93">
        <f t="shared" si="3"/>
        <v>7.4227313929028094E-3</v>
      </c>
      <c r="S17" s="93">
        <f t="shared" si="3"/>
        <v>7.5078691016246465E-3</v>
      </c>
      <c r="T17" s="93">
        <f t="shared" si="4"/>
        <v>3.8212094119186037E-3</v>
      </c>
      <c r="U17" s="68">
        <f t="shared" si="13"/>
        <v>8.359119235054573E-3</v>
      </c>
      <c r="W17" s="3"/>
      <c r="X17" s="3">
        <f>AVERAGE(R17:T17)</f>
        <v>6.2506033021486858E-3</v>
      </c>
    </row>
    <row r="18" spans="1:27">
      <c r="A18" s="37" t="s">
        <v>45</v>
      </c>
      <c r="B18" s="139">
        <f t="shared" ref="B18:I18" si="20">SUM(B11:B17)</f>
        <v>68310976</v>
      </c>
      <c r="C18" s="139">
        <f t="shared" si="20"/>
        <v>72430045</v>
      </c>
      <c r="D18" s="137">
        <f t="shared" si="20"/>
        <v>94243944</v>
      </c>
      <c r="E18" s="137">
        <f t="shared" si="20"/>
        <v>115646010</v>
      </c>
      <c r="F18" s="137">
        <f t="shared" si="20"/>
        <v>110109579</v>
      </c>
      <c r="G18" s="137">
        <f t="shared" si="20"/>
        <v>125486816</v>
      </c>
      <c r="H18" s="137">
        <f t="shared" si="20"/>
        <v>133970949</v>
      </c>
      <c r="I18" s="139">
        <f t="shared" si="20"/>
        <v>145365581</v>
      </c>
      <c r="J18" s="67">
        <f t="shared" si="5"/>
        <v>9.0540068925857309E-2</v>
      </c>
      <c r="K18" s="3"/>
      <c r="L18" s="37" t="str">
        <f t="shared" si="0"/>
        <v>Total Current Assets</v>
      </c>
      <c r="M18" s="67">
        <f t="shared" si="1"/>
        <v>0.13294337685598445</v>
      </c>
      <c r="N18" s="67">
        <f t="shared" si="2"/>
        <v>0.14458567939322281</v>
      </c>
      <c r="O18" s="67">
        <f t="shared" si="3"/>
        <v>0.18540826743163996</v>
      </c>
      <c r="P18" s="67">
        <f t="shared" si="3"/>
        <v>0.23119923697181236</v>
      </c>
      <c r="Q18" s="67">
        <f t="shared" si="3"/>
        <v>0.22981562033711592</v>
      </c>
      <c r="R18" s="67">
        <f t="shared" si="3"/>
        <v>0.2680175120494645</v>
      </c>
      <c r="S18" s="67">
        <f t="shared" si="3"/>
        <v>0.29113074606791783</v>
      </c>
      <c r="T18" s="67">
        <f t="shared" si="4"/>
        <v>0.31579157416225284</v>
      </c>
      <c r="U18" s="67">
        <f>SUM(D18:I18)/SUM(D$36:I$36)</f>
        <v>0.25199602828552087</v>
      </c>
      <c r="W18" s="3"/>
      <c r="X18" s="3"/>
    </row>
    <row r="19" spans="1:27">
      <c r="B19" s="139"/>
      <c r="C19" s="139"/>
      <c r="D19" s="142"/>
      <c r="E19" s="142"/>
      <c r="F19" s="142"/>
      <c r="G19" s="142"/>
      <c r="H19" s="142"/>
      <c r="I19" s="142"/>
      <c r="K19" s="3"/>
      <c r="L19" s="37"/>
      <c r="O19" s="67"/>
      <c r="P19" s="67"/>
      <c r="Q19" s="67"/>
      <c r="R19" s="67"/>
      <c r="S19" s="67"/>
      <c r="T19" s="67"/>
      <c r="W19" s="3"/>
      <c r="X19" s="3"/>
    </row>
    <row r="20" spans="1:27">
      <c r="A20" s="78" t="s">
        <v>31</v>
      </c>
      <c r="B20" s="139"/>
      <c r="C20" s="139"/>
      <c r="D20" s="142"/>
      <c r="E20" s="142"/>
      <c r="F20" s="142"/>
      <c r="G20" s="142"/>
      <c r="H20" s="142"/>
      <c r="I20" s="142"/>
      <c r="K20" s="3"/>
      <c r="L20" s="78" t="s">
        <v>31</v>
      </c>
      <c r="O20" s="67"/>
      <c r="P20" s="67"/>
      <c r="Q20" s="67"/>
      <c r="R20" s="67"/>
      <c r="S20" s="67"/>
      <c r="T20" s="67"/>
      <c r="W20" s="3"/>
      <c r="X20" s="3"/>
    </row>
    <row r="21" spans="1:27">
      <c r="A21" s="37" t="s">
        <v>89</v>
      </c>
      <c r="B21" s="139">
        <v>429977701</v>
      </c>
      <c r="C21" s="139">
        <v>431504494</v>
      </c>
      <c r="D21" s="137">
        <v>435586229</v>
      </c>
      <c r="E21" s="137">
        <v>439349900</v>
      </c>
      <c r="F21" s="137">
        <v>444324567</v>
      </c>
      <c r="G21" s="137">
        <v>448926247</v>
      </c>
      <c r="H21" s="137">
        <v>447594308</v>
      </c>
      <c r="I21" s="137">
        <v>447808466</v>
      </c>
      <c r="J21" s="67">
        <f t="shared" ref="J21:J22" si="21">RATE(5,,-D21,I21)</f>
        <v>5.5499106190626188E-3</v>
      </c>
      <c r="K21" s="3"/>
      <c r="L21" s="37" t="str">
        <f>A21</f>
        <v>Plant in Service</v>
      </c>
      <c r="M21" s="67">
        <f t="shared" ref="M21:M24" si="22">B21/B$36</f>
        <v>0.83680091971915038</v>
      </c>
      <c r="N21" s="67">
        <f t="shared" ref="N21:N24" si="23">C21/C$36</f>
        <v>0.86137417733509392</v>
      </c>
      <c r="O21" s="67">
        <f t="shared" ref="O21:S24" si="24">D21/D$36</f>
        <v>0.85693875498219352</v>
      </c>
      <c r="P21" s="67">
        <f t="shared" si="24"/>
        <v>0.87834730868485711</v>
      </c>
      <c r="Q21" s="67">
        <f t="shared" si="24"/>
        <v>0.92737368468301395</v>
      </c>
      <c r="R21" s="67">
        <f t="shared" si="24"/>
        <v>0.95882658951712807</v>
      </c>
      <c r="S21" s="67">
        <f t="shared" si="24"/>
        <v>0.97266210172022738</v>
      </c>
      <c r="T21" s="67">
        <f t="shared" ref="T21:T24" si="25">I21/I$36</f>
        <v>0.97281722006341842</v>
      </c>
      <c r="U21" s="67">
        <f t="shared" ref="U21:U28" si="26">SUM(D21:I21)/SUM(D$36:I$36)</f>
        <v>0.92603869043454201</v>
      </c>
      <c r="W21" s="3"/>
      <c r="X21" s="3">
        <f>(+S21+R21+Q21)/3</f>
        <v>0.9529541253067898</v>
      </c>
    </row>
    <row r="22" spans="1:27">
      <c r="A22" s="37" t="s">
        <v>119</v>
      </c>
      <c r="B22" s="139">
        <v>2483791</v>
      </c>
      <c r="C22" s="139">
        <v>4928721</v>
      </c>
      <c r="D22" s="137">
        <v>5158164</v>
      </c>
      <c r="E22" s="137">
        <v>6115516</v>
      </c>
      <c r="F22" s="137">
        <v>840453</v>
      </c>
      <c r="G22" s="137">
        <v>3780045</v>
      </c>
      <c r="H22" s="137">
        <v>9198964</v>
      </c>
      <c r="I22" s="137">
        <v>18205721</v>
      </c>
      <c r="J22" s="67">
        <f t="shared" si="21"/>
        <v>0.28689332243139315</v>
      </c>
      <c r="K22" s="3"/>
      <c r="L22" s="37" t="str">
        <f>A22</f>
        <v>Construction Work in Progress</v>
      </c>
      <c r="M22" s="67">
        <f t="shared" si="22"/>
        <v>4.8338287970662655E-3</v>
      </c>
      <c r="N22" s="67">
        <f t="shared" si="23"/>
        <v>9.8387689021129914E-3</v>
      </c>
      <c r="O22" s="67">
        <f t="shared" si="24"/>
        <v>1.0147774061410861E-2</v>
      </c>
      <c r="P22" s="67">
        <f t="shared" si="24"/>
        <v>1.2226125509119685E-2</v>
      </c>
      <c r="Q22" s="67">
        <f t="shared" si="24"/>
        <v>1.7541546277203555E-3</v>
      </c>
      <c r="R22" s="67">
        <f t="shared" si="24"/>
        <v>8.0735035649881978E-3</v>
      </c>
      <c r="S22" s="67">
        <f t="shared" si="24"/>
        <v>1.9990164079317804E-2</v>
      </c>
      <c r="T22" s="67">
        <f t="shared" si="25"/>
        <v>3.9550031402198184E-2</v>
      </c>
      <c r="U22" s="67">
        <f t="shared" si="26"/>
        <v>1.5053528001671829E-2</v>
      </c>
      <c r="W22" s="3"/>
      <c r="X22" s="3">
        <f>(+S22+R22+P22+O22)/4</f>
        <v>1.2609391803709137E-2</v>
      </c>
    </row>
    <row r="23" spans="1:27">
      <c r="A23" s="37" t="s">
        <v>64</v>
      </c>
      <c r="B23" s="148"/>
      <c r="C23" s="148"/>
      <c r="D23" s="141"/>
      <c r="E23" s="141"/>
      <c r="F23" s="141"/>
      <c r="G23" s="141"/>
      <c r="H23" s="141"/>
      <c r="I23" s="141"/>
      <c r="J23" s="68"/>
      <c r="K23" s="3"/>
      <c r="L23" s="37" t="str">
        <f>A23</f>
        <v>Other PP&amp;E</v>
      </c>
      <c r="M23" s="94">
        <f t="shared" si="22"/>
        <v>0</v>
      </c>
      <c r="N23" s="94">
        <f t="shared" si="23"/>
        <v>0</v>
      </c>
      <c r="O23" s="94">
        <f t="shared" si="24"/>
        <v>0</v>
      </c>
      <c r="P23" s="67">
        <f t="shared" si="24"/>
        <v>0</v>
      </c>
      <c r="Q23" s="67">
        <f t="shared" si="24"/>
        <v>0</v>
      </c>
      <c r="R23" s="67">
        <f t="shared" si="24"/>
        <v>0</v>
      </c>
      <c r="S23" s="67">
        <f t="shared" si="24"/>
        <v>0</v>
      </c>
      <c r="T23" s="67">
        <f t="shared" si="25"/>
        <v>0</v>
      </c>
      <c r="U23" s="68">
        <f t="shared" si="26"/>
        <v>0</v>
      </c>
      <c r="W23" s="3"/>
      <c r="X23" s="3"/>
    </row>
    <row r="24" spans="1:27" ht="12.75" customHeight="1">
      <c r="A24" s="37" t="s">
        <v>70</v>
      </c>
      <c r="B24" s="139">
        <f t="shared" ref="B24:I24" si="27">SUM(B21:B23)</f>
        <v>432461492</v>
      </c>
      <c r="C24" s="139">
        <f t="shared" si="27"/>
        <v>436433215</v>
      </c>
      <c r="D24" s="137">
        <f t="shared" si="27"/>
        <v>440744393</v>
      </c>
      <c r="E24" s="137">
        <f t="shared" si="27"/>
        <v>445465416</v>
      </c>
      <c r="F24" s="137">
        <f t="shared" si="27"/>
        <v>445165020</v>
      </c>
      <c r="G24" s="137">
        <f t="shared" si="27"/>
        <v>452706292</v>
      </c>
      <c r="H24" s="137">
        <f t="shared" si="27"/>
        <v>456793272</v>
      </c>
      <c r="I24" s="137">
        <f t="shared" si="27"/>
        <v>466014187</v>
      </c>
      <c r="J24" s="67">
        <f>RATE(5,,-D24,I24)</f>
        <v>1.1212590755354876E-2</v>
      </c>
      <c r="K24" s="3"/>
      <c r="L24" s="37" t="str">
        <f>A24</f>
        <v>Total Plant &amp; Equipment:</v>
      </c>
      <c r="M24" s="95">
        <f t="shared" si="22"/>
        <v>0.84163474851621667</v>
      </c>
      <c r="N24" s="95">
        <f t="shared" si="23"/>
        <v>0.87121294623720691</v>
      </c>
      <c r="O24" s="95">
        <f t="shared" si="24"/>
        <v>0.86708652904360439</v>
      </c>
      <c r="P24" s="95">
        <f t="shared" si="24"/>
        <v>0.89057343419397672</v>
      </c>
      <c r="Q24" s="95">
        <f t="shared" si="24"/>
        <v>0.92912783931073439</v>
      </c>
      <c r="R24" s="95">
        <f>G24/G$36</f>
        <v>0.96690009308211633</v>
      </c>
      <c r="S24" s="95">
        <f t="shared" si="24"/>
        <v>0.99265226579954524</v>
      </c>
      <c r="T24" s="95">
        <f t="shared" si="25"/>
        <v>1.0123672514656166</v>
      </c>
      <c r="U24" s="67">
        <f t="shared" si="26"/>
        <v>0.94109221843621382</v>
      </c>
      <c r="W24" s="3"/>
      <c r="X24" s="3">
        <f>+X22+X21</f>
        <v>0.96556351711049893</v>
      </c>
    </row>
    <row r="25" spans="1:27" ht="7.5" customHeight="1">
      <c r="B25" s="139"/>
      <c r="C25" s="139"/>
      <c r="D25" s="142"/>
      <c r="E25" s="142"/>
      <c r="F25" s="143"/>
      <c r="G25" s="142"/>
      <c r="H25" s="142"/>
      <c r="I25" s="142"/>
      <c r="K25" s="3"/>
      <c r="L25" s="81"/>
      <c r="M25" s="94"/>
      <c r="N25" s="94"/>
      <c r="O25" s="94"/>
      <c r="P25" s="94"/>
      <c r="Q25" s="94"/>
      <c r="R25" s="94"/>
      <c r="S25" s="94"/>
      <c r="T25" s="94"/>
      <c r="W25" s="3"/>
      <c r="X25" s="3"/>
    </row>
    <row r="26" spans="1:27" ht="12.75" customHeight="1">
      <c r="A26" s="37" t="s">
        <v>65</v>
      </c>
      <c r="B26" s="139">
        <v>176964651</v>
      </c>
      <c r="C26" s="139">
        <v>190419233</v>
      </c>
      <c r="D26" s="137">
        <v>203862086</v>
      </c>
      <c r="E26" s="137">
        <v>217429215</v>
      </c>
      <c r="F26" s="137">
        <v>227820256</v>
      </c>
      <c r="G26" s="137">
        <v>241200044</v>
      </c>
      <c r="H26" s="137">
        <v>252050333</v>
      </c>
      <c r="I26" s="137">
        <v>264120602</v>
      </c>
      <c r="J26" s="67">
        <f>RATE(5,,-D26,I26)</f>
        <v>5.3157107237128819E-2</v>
      </c>
      <c r="K26" s="3"/>
      <c r="L26" s="37" t="str">
        <f>A26</f>
        <v>Accumulated Depreciation &amp; Amort.</v>
      </c>
      <c r="M26" s="67">
        <f t="shared" ref="M26" si="28">B26/B$36</f>
        <v>0.34439968019313277</v>
      </c>
      <c r="N26" s="67">
        <f t="shared" ref="N26" si="29">C26/C$36</f>
        <v>0.38011703807227226</v>
      </c>
      <c r="O26" s="67">
        <f t="shared" ref="O26:T26" si="30">D26/D$36</f>
        <v>0.40106254636648042</v>
      </c>
      <c r="P26" s="67">
        <f t="shared" si="30"/>
        <v>0.43468398610017017</v>
      </c>
      <c r="Q26" s="67">
        <f t="shared" si="30"/>
        <v>0.47549590084256477</v>
      </c>
      <c r="R26" s="67">
        <f t="shared" si="30"/>
        <v>0.51516037907202439</v>
      </c>
      <c r="S26" s="67">
        <f t="shared" si="30"/>
        <v>0.54772771291600786</v>
      </c>
      <c r="T26" s="67">
        <f t="shared" si="30"/>
        <v>0.57377448017947152</v>
      </c>
      <c r="U26" s="67">
        <f t="shared" si="26"/>
        <v>0.48898568628784567</v>
      </c>
      <c r="V26" s="67"/>
      <c r="W26" s="3"/>
      <c r="X26" s="3">
        <f>(+S26+R26+T26)/3</f>
        <v>0.54555419072250133</v>
      </c>
      <c r="Y26" s="1">
        <f>D26/D21</f>
        <v>0.46801774810011271</v>
      </c>
      <c r="Z26" s="1">
        <f>E26/E21</f>
        <v>0.49488850458370426</v>
      </c>
      <c r="AA26" s="1">
        <f>AVERAGE(Y26:Z26)</f>
        <v>0.48145312634190851</v>
      </c>
    </row>
    <row r="27" spans="1:27" ht="7.5" customHeight="1">
      <c r="B27" s="139"/>
      <c r="C27" s="139"/>
      <c r="D27" s="137"/>
      <c r="E27" s="137"/>
      <c r="F27" s="137"/>
      <c r="G27" s="137"/>
      <c r="H27" s="137"/>
      <c r="I27" s="137"/>
      <c r="K27" s="3"/>
      <c r="L27" s="37"/>
      <c r="M27" s="94"/>
      <c r="N27" s="94"/>
      <c r="O27" s="94"/>
      <c r="P27" s="94"/>
      <c r="Q27" s="94"/>
      <c r="R27" s="94"/>
      <c r="S27" s="94"/>
      <c r="T27" s="94"/>
      <c r="W27" s="3"/>
      <c r="X27" s="3"/>
    </row>
    <row r="28" spans="1:27">
      <c r="A28" s="37" t="s">
        <v>66</v>
      </c>
      <c r="B28" s="139">
        <f t="shared" ref="B28:C28" si="31">B24-B26</f>
        <v>255496841</v>
      </c>
      <c r="C28" s="139">
        <f t="shared" si="31"/>
        <v>246013982</v>
      </c>
      <c r="D28" s="137">
        <f>D24-D26</f>
        <v>236882307</v>
      </c>
      <c r="E28" s="137">
        <f>E24-E26</f>
        <v>228036201</v>
      </c>
      <c r="F28" s="137">
        <v>217344764</v>
      </c>
      <c r="G28" s="137">
        <f>G24-G26</f>
        <v>211506248</v>
      </c>
      <c r="H28" s="137">
        <f>H24-H26</f>
        <v>204742939</v>
      </c>
      <c r="I28" s="137">
        <f>I24-I26</f>
        <v>201893585</v>
      </c>
      <c r="J28" s="67">
        <f>RATE(5,,-D28,I28)</f>
        <v>-3.1459068488789252E-2</v>
      </c>
      <c r="K28" s="3"/>
      <c r="L28" s="37" t="str">
        <f>A28</f>
        <v>Net Plant &amp; Equipment</v>
      </c>
      <c r="M28" s="67">
        <f t="shared" ref="M28" si="32">B28/B$36</f>
        <v>0.4972350683230839</v>
      </c>
      <c r="N28" s="67">
        <f t="shared" ref="N28" si="33">C28/C$36</f>
        <v>0.4910959081649347</v>
      </c>
      <c r="O28" s="67">
        <f t="shared" ref="O28:T28" si="34">D28/D$36</f>
        <v>0.46602398267712397</v>
      </c>
      <c r="P28" s="67">
        <f t="shared" si="34"/>
        <v>0.4558894480938066</v>
      </c>
      <c r="Q28" s="67">
        <f t="shared" si="34"/>
        <v>0.45363193846816957</v>
      </c>
      <c r="R28" s="67">
        <f t="shared" si="34"/>
        <v>0.45173971401009194</v>
      </c>
      <c r="S28" s="67">
        <f t="shared" si="34"/>
        <v>0.44492455288353738</v>
      </c>
      <c r="T28" s="67">
        <f t="shared" si="34"/>
        <v>0.43859277128614504</v>
      </c>
      <c r="U28" s="67">
        <f t="shared" si="26"/>
        <v>0.45210653214836816</v>
      </c>
      <c r="W28" s="3"/>
      <c r="X28" s="3">
        <f>+X24-X26</f>
        <v>0.42000932638799759</v>
      </c>
    </row>
    <row r="29" spans="1:27" ht="15" customHeight="1">
      <c r="B29" s="139"/>
      <c r="C29" s="139"/>
      <c r="D29" s="144"/>
      <c r="E29" s="144"/>
      <c r="F29" s="144"/>
      <c r="G29" s="144"/>
      <c r="H29" s="144"/>
      <c r="I29" s="144"/>
      <c r="K29" s="3"/>
      <c r="L29" s="37"/>
      <c r="O29" s="67"/>
      <c r="P29" s="67"/>
      <c r="Q29" s="67"/>
      <c r="R29" s="67"/>
      <c r="S29" s="67"/>
      <c r="T29" s="67"/>
      <c r="W29" s="3"/>
      <c r="X29" s="3"/>
    </row>
    <row r="30" spans="1:27">
      <c r="A30" s="78" t="s">
        <v>79</v>
      </c>
      <c r="B30" s="139"/>
      <c r="C30" s="139"/>
      <c r="D30" s="144"/>
      <c r="E30" s="144"/>
      <c r="F30" s="144"/>
      <c r="G30" s="144"/>
      <c r="H30" s="144"/>
      <c r="I30" s="144"/>
      <c r="K30" s="3"/>
      <c r="L30" s="78" t="str">
        <f>A30</f>
        <v>Other Assets:</v>
      </c>
      <c r="O30" s="67"/>
      <c r="P30" s="67"/>
      <c r="Q30" s="67"/>
      <c r="R30" s="67"/>
      <c r="S30" s="67"/>
      <c r="T30" s="67"/>
      <c r="W30" s="3"/>
      <c r="X30" s="3"/>
    </row>
    <row r="31" spans="1:27">
      <c r="A31" s="37" t="s">
        <v>116</v>
      </c>
      <c r="B31" s="139">
        <v>44575649</v>
      </c>
      <c r="C31" s="139">
        <v>48184539</v>
      </c>
      <c r="D31" s="137">
        <v>46316459</v>
      </c>
      <c r="E31" s="137">
        <v>42147406</v>
      </c>
      <c r="F31" s="137">
        <v>47790592</v>
      </c>
      <c r="G31" s="137">
        <v>45278097</v>
      </c>
      <c r="H31" s="137">
        <v>43548660</v>
      </c>
      <c r="I31" s="137">
        <v>42230534</v>
      </c>
      <c r="J31" s="67">
        <f t="shared" ref="J31:J36" si="35">RATE(5,,-D31,I31)</f>
        <v>-1.8301234695067427E-2</v>
      </c>
      <c r="K31" s="3"/>
      <c r="L31" s="37" t="str">
        <f>A31</f>
        <v>Accumulated Deferred Income Taxes</v>
      </c>
      <c r="M31" s="67">
        <f t="shared" ref="M31:M36" si="36">B31/B$36</f>
        <v>8.6750880321298393E-2</v>
      </c>
      <c r="N31" s="67">
        <f t="shared" ref="N31:N36" si="37">C31/C$36</f>
        <v>9.6186524633033718E-2</v>
      </c>
      <c r="O31" s="67">
        <f t="shared" ref="O31:S36" si="38">D31/D$36</f>
        <v>9.1119429559936377E-2</v>
      </c>
      <c r="P31" s="67">
        <f t="shared" si="38"/>
        <v>8.4260997050751574E-2</v>
      </c>
      <c r="Q31" s="67">
        <f t="shared" si="38"/>
        <v>9.9746313141003004E-2</v>
      </c>
      <c r="R31" s="67">
        <f t="shared" si="38"/>
        <v>9.6705959200322072E-2</v>
      </c>
      <c r="S31" s="67">
        <f t="shared" si="38"/>
        <v>9.4635097912593641E-2</v>
      </c>
      <c r="T31" s="67">
        <f t="shared" ref="T31:T36" si="39">I31/I$36</f>
        <v>9.1741433686235122E-2</v>
      </c>
      <c r="U31" s="67">
        <f t="shared" ref="U31:U36" si="40">SUM(D31:I31)/SUM(D$36:I$36)</f>
        <v>9.2935116649456681E-2</v>
      </c>
      <c r="W31" s="3"/>
      <c r="X31" s="3">
        <f>+T31</f>
        <v>9.1741433686235122E-2</v>
      </c>
    </row>
    <row r="32" spans="1:27">
      <c r="A32" s="37" t="s">
        <v>115</v>
      </c>
      <c r="B32" s="139">
        <v>-23466231</v>
      </c>
      <c r="C32" s="139">
        <v>-28530124</v>
      </c>
      <c r="D32" s="137">
        <v>-32444910</v>
      </c>
      <c r="E32" s="137">
        <f>-35306573</f>
        <v>-35306573</v>
      </c>
      <c r="F32" s="137">
        <v>-33260114</v>
      </c>
      <c r="G32" s="137">
        <f>-40006468</f>
        <v>-40006468</v>
      </c>
      <c r="H32" s="137">
        <f>-53346858+14471919+4186260</f>
        <v>-34688679</v>
      </c>
      <c r="I32" s="137">
        <f>14818066-46310034+3788010</f>
        <v>-27703958</v>
      </c>
      <c r="J32" s="67">
        <f t="shared" si="35"/>
        <v>-3.1099791708933282E-2</v>
      </c>
      <c r="K32" s="3"/>
      <c r="L32" s="37" t="str">
        <f>A32</f>
        <v>Investments and Other Property</v>
      </c>
      <c r="M32" s="151">
        <f t="shared" si="36"/>
        <v>-4.5668795468865576E-2</v>
      </c>
      <c r="N32" s="67">
        <f t="shared" si="37"/>
        <v>-5.6952157929943181E-2</v>
      </c>
      <c r="O32" s="67">
        <f t="shared" si="38"/>
        <v>-6.3829613816623484E-2</v>
      </c>
      <c r="P32" s="67">
        <f t="shared" si="38"/>
        <v>-7.0584819464930892E-2</v>
      </c>
      <c r="Q32" s="67">
        <f t="shared" si="38"/>
        <v>-6.9418971544639121E-2</v>
      </c>
      <c r="R32" s="67">
        <f t="shared" si="38"/>
        <v>-8.5446697597670471E-2</v>
      </c>
      <c r="S32" s="67">
        <f t="shared" si="38"/>
        <v>-7.5381573936454782E-2</v>
      </c>
      <c r="T32" s="67">
        <f t="shared" si="39"/>
        <v>-6.0183961341886957E-2</v>
      </c>
      <c r="U32" s="67">
        <f t="shared" si="40"/>
        <v>-7.0718916993195047E-2</v>
      </c>
      <c r="W32" s="3"/>
      <c r="X32" s="3">
        <f>+U32</f>
        <v>-7.0718916993195047E-2</v>
      </c>
    </row>
    <row r="33" spans="1:31">
      <c r="A33" s="37" t="s">
        <v>117</v>
      </c>
      <c r="B33" s="139">
        <f>168909842+5954+2089</f>
        <v>168917885</v>
      </c>
      <c r="C33" s="139">
        <f>162873100+153-22740</f>
        <v>162850513</v>
      </c>
      <c r="D33" s="141">
        <f>549+163306622</f>
        <v>163307171</v>
      </c>
      <c r="E33" s="141">
        <f>149677369+243</f>
        <v>149677612</v>
      </c>
      <c r="F33" s="141">
        <f>137135910+657</f>
        <v>137136567</v>
      </c>
      <c r="G33" s="141">
        <f>125888993+50108</f>
        <v>125939101</v>
      </c>
      <c r="H33" s="141">
        <f>112600743-100</f>
        <v>112600643</v>
      </c>
      <c r="I33" s="141">
        <f>98535636-100</f>
        <v>98535536</v>
      </c>
      <c r="J33" s="68">
        <f t="shared" si="35"/>
        <v>-9.6105954236819682E-2</v>
      </c>
      <c r="K33" s="3"/>
      <c r="L33" s="37" t="str">
        <f>A33</f>
        <v>Other Deferred Debits and Other Assets</v>
      </c>
      <c r="M33" s="67">
        <f t="shared" si="36"/>
        <v>0.32873946996849884</v>
      </c>
      <c r="N33" s="67">
        <f t="shared" si="37"/>
        <v>0.32508404573875199</v>
      </c>
      <c r="O33" s="67">
        <f t="shared" si="38"/>
        <v>0.32127793414792316</v>
      </c>
      <c r="P33" s="67">
        <f t="shared" si="38"/>
        <v>0.29923513734856039</v>
      </c>
      <c r="Q33" s="67">
        <f t="shared" si="38"/>
        <v>0.28622509959835063</v>
      </c>
      <c r="R33" s="67">
        <f t="shared" si="38"/>
        <v>0.26898351233779194</v>
      </c>
      <c r="S33" s="67">
        <f t="shared" si="38"/>
        <v>0.24469117707240595</v>
      </c>
      <c r="T33" s="67">
        <f t="shared" si="39"/>
        <v>0.21405818220725395</v>
      </c>
      <c r="U33" s="68">
        <f t="shared" si="40"/>
        <v>0.27368123990984933</v>
      </c>
      <c r="W33" s="3"/>
      <c r="X33" s="3">
        <f>AVERAGE(R33:T33)</f>
        <v>0.24257762387248394</v>
      </c>
      <c r="Y33" s="1"/>
      <c r="Z33" s="1"/>
      <c r="AA33" s="1"/>
      <c r="AB33" s="1"/>
      <c r="AC33" s="1"/>
      <c r="AD33" s="1"/>
      <c r="AE33" s="1"/>
    </row>
    <row r="34" spans="1:31">
      <c r="A34" s="37" t="s">
        <v>80</v>
      </c>
      <c r="B34" s="149">
        <f t="shared" ref="B34:C34" si="41">SUM(B31:B33)</f>
        <v>190027303</v>
      </c>
      <c r="C34" s="149">
        <f t="shared" si="41"/>
        <v>182504928</v>
      </c>
      <c r="D34" s="145">
        <f t="shared" ref="D34:I34" si="42">SUM(D31:D33)</f>
        <v>177178720</v>
      </c>
      <c r="E34" s="145">
        <f t="shared" si="42"/>
        <v>156518445</v>
      </c>
      <c r="F34" s="145">
        <f t="shared" si="42"/>
        <v>151667045</v>
      </c>
      <c r="G34" s="145">
        <f t="shared" si="42"/>
        <v>131210730</v>
      </c>
      <c r="H34" s="145">
        <f t="shared" si="42"/>
        <v>121460624</v>
      </c>
      <c r="I34" s="145">
        <f t="shared" si="42"/>
        <v>113062112</v>
      </c>
      <c r="J34" s="106">
        <f t="shared" si="35"/>
        <v>-8.5926524536572818E-2</v>
      </c>
      <c r="K34" s="3"/>
      <c r="L34" s="37" t="s">
        <v>80</v>
      </c>
      <c r="M34" s="95">
        <f t="shared" si="36"/>
        <v>0.36982155482093165</v>
      </c>
      <c r="N34" s="95">
        <f t="shared" si="37"/>
        <v>0.36431841244184249</v>
      </c>
      <c r="O34" s="95">
        <f t="shared" si="38"/>
        <v>0.34856774989123607</v>
      </c>
      <c r="P34" s="95">
        <f t="shared" si="38"/>
        <v>0.31291131493438107</v>
      </c>
      <c r="Q34" s="95">
        <f t="shared" si="38"/>
        <v>0.31655244119471454</v>
      </c>
      <c r="R34" s="95">
        <f t="shared" si="38"/>
        <v>0.28024277394044356</v>
      </c>
      <c r="S34" s="95">
        <f t="shared" si="38"/>
        <v>0.26394470104854484</v>
      </c>
      <c r="T34" s="95">
        <f t="shared" si="39"/>
        <v>0.24561565455160211</v>
      </c>
      <c r="U34" s="106">
        <f t="shared" si="40"/>
        <v>0.29589743956611098</v>
      </c>
      <c r="W34" s="3"/>
      <c r="X34" s="3">
        <f>+X33+X32+X31</f>
        <v>0.263600140565524</v>
      </c>
      <c r="Y34" s="1"/>
    </row>
    <row r="35" spans="1:31">
      <c r="A35" s="37" t="s">
        <v>49</v>
      </c>
      <c r="B35" s="139">
        <f t="shared" ref="B35:C35" si="43">B28+B34</f>
        <v>445524144</v>
      </c>
      <c r="C35" s="139">
        <f t="shared" si="43"/>
        <v>428518910</v>
      </c>
      <c r="D35" s="137">
        <f t="shared" ref="D35:I35" si="44">D28+D34</f>
        <v>414061027</v>
      </c>
      <c r="E35" s="137">
        <f t="shared" si="44"/>
        <v>384554646</v>
      </c>
      <c r="F35" s="137">
        <f t="shared" si="44"/>
        <v>369011809</v>
      </c>
      <c r="G35" s="137">
        <f t="shared" si="44"/>
        <v>342716978</v>
      </c>
      <c r="H35" s="137">
        <f t="shared" si="44"/>
        <v>326203563</v>
      </c>
      <c r="I35" s="137">
        <f t="shared" si="44"/>
        <v>314955697</v>
      </c>
      <c r="J35" s="106">
        <f t="shared" si="35"/>
        <v>-5.3246274660814191E-2</v>
      </c>
      <c r="K35" s="3"/>
      <c r="L35" s="37" t="s">
        <v>49</v>
      </c>
      <c r="M35" s="95">
        <f t="shared" si="36"/>
        <v>0.86705662314401555</v>
      </c>
      <c r="N35" s="95">
        <f t="shared" si="37"/>
        <v>0.85541432060677725</v>
      </c>
      <c r="O35" s="95">
        <f t="shared" si="38"/>
        <v>0.81459173256836004</v>
      </c>
      <c r="P35" s="95">
        <f t="shared" si="38"/>
        <v>0.76880076302818767</v>
      </c>
      <c r="Q35" s="95">
        <f t="shared" si="38"/>
        <v>0.77018437966288411</v>
      </c>
      <c r="R35" s="95">
        <f t="shared" si="38"/>
        <v>0.73198248795053544</v>
      </c>
      <c r="S35" s="95">
        <f t="shared" si="38"/>
        <v>0.70886925393208222</v>
      </c>
      <c r="T35" s="95">
        <f t="shared" si="39"/>
        <v>0.68420842583774721</v>
      </c>
      <c r="U35" s="68">
        <f t="shared" si="40"/>
        <v>0.74800397171447919</v>
      </c>
      <c r="W35" s="3"/>
      <c r="X35" s="3">
        <f>1-X34</f>
        <v>0.73639985943447606</v>
      </c>
    </row>
    <row r="36" spans="1:31" ht="13.5" thickBot="1">
      <c r="A36" s="37" t="s">
        <v>44</v>
      </c>
      <c r="B36" s="154">
        <f t="shared" ref="B36:C36" si="45">B18+B28+B34</f>
        <v>513835120</v>
      </c>
      <c r="C36" s="154">
        <f t="shared" si="45"/>
        <v>500948955</v>
      </c>
      <c r="D36" s="146">
        <f t="shared" ref="D36:I36" si="46">D18+D28+D34</f>
        <v>508304971</v>
      </c>
      <c r="E36" s="146">
        <f t="shared" si="46"/>
        <v>500200656</v>
      </c>
      <c r="F36" s="146">
        <f t="shared" si="46"/>
        <v>479121388</v>
      </c>
      <c r="G36" s="146">
        <f t="shared" si="46"/>
        <v>468203794</v>
      </c>
      <c r="H36" s="146">
        <f t="shared" si="46"/>
        <v>460174512</v>
      </c>
      <c r="I36" s="146">
        <f t="shared" si="46"/>
        <v>460321278</v>
      </c>
      <c r="J36" s="96">
        <f t="shared" si="35"/>
        <v>-1.9636037134382011E-2</v>
      </c>
      <c r="K36" s="3"/>
      <c r="L36" s="37" t="s">
        <v>44</v>
      </c>
      <c r="M36" s="96">
        <f t="shared" si="36"/>
        <v>1</v>
      </c>
      <c r="N36" s="96">
        <f t="shared" si="37"/>
        <v>1</v>
      </c>
      <c r="O36" s="96">
        <f t="shared" si="38"/>
        <v>1</v>
      </c>
      <c r="P36" s="96">
        <f t="shared" si="38"/>
        <v>1</v>
      </c>
      <c r="Q36" s="96">
        <f t="shared" si="38"/>
        <v>1</v>
      </c>
      <c r="R36" s="96">
        <f t="shared" si="38"/>
        <v>1</v>
      </c>
      <c r="S36" s="96">
        <f t="shared" si="38"/>
        <v>1</v>
      </c>
      <c r="T36" s="96">
        <f t="shared" si="39"/>
        <v>1</v>
      </c>
      <c r="U36" s="96">
        <f t="shared" si="40"/>
        <v>1</v>
      </c>
      <c r="W36" s="3"/>
      <c r="X36" s="3">
        <f>+X35+X34</f>
        <v>1</v>
      </c>
    </row>
    <row r="37" spans="1:31" ht="13.5" thickTop="1">
      <c r="B37" s="139"/>
      <c r="C37" s="139"/>
      <c r="D37" s="139"/>
      <c r="E37" s="139"/>
      <c r="F37" s="139"/>
      <c r="G37" s="139"/>
      <c r="H37" s="139"/>
      <c r="I37" s="139"/>
      <c r="J37" s="66"/>
      <c r="K37" s="3"/>
      <c r="L37" s="37"/>
      <c r="M37" s="94"/>
      <c r="N37" s="94"/>
      <c r="O37" s="94"/>
      <c r="P37" s="94"/>
      <c r="Q37" s="94"/>
      <c r="R37" s="94"/>
      <c r="S37" s="94"/>
      <c r="T37" s="94"/>
      <c r="W37" s="3"/>
      <c r="X37" s="3"/>
    </row>
    <row r="38" spans="1:31">
      <c r="A38" s="78" t="s">
        <v>8</v>
      </c>
      <c r="B38" s="139"/>
      <c r="C38" s="139"/>
      <c r="D38" s="137"/>
      <c r="E38" s="137"/>
      <c r="F38" s="137"/>
      <c r="G38" s="137"/>
      <c r="H38" s="137"/>
      <c r="I38" s="137"/>
      <c r="K38" s="3"/>
      <c r="L38" s="131" t="s">
        <v>8</v>
      </c>
      <c r="O38" s="67"/>
      <c r="P38" s="67"/>
      <c r="Q38" s="67"/>
      <c r="R38" s="67"/>
      <c r="S38" s="67"/>
      <c r="T38" s="67"/>
      <c r="W38" s="3"/>
      <c r="X38" s="3"/>
      <c r="AE38" s="12"/>
    </row>
    <row r="39" spans="1:31">
      <c r="A39" s="80" t="s">
        <v>107</v>
      </c>
      <c r="B39" s="139"/>
      <c r="C39" s="139"/>
      <c r="D39" s="139"/>
      <c r="E39" s="139"/>
      <c r="F39" s="139"/>
      <c r="G39" s="139"/>
      <c r="H39" s="139"/>
      <c r="I39" s="139"/>
      <c r="K39" s="3"/>
      <c r="L39" s="37" t="str">
        <f>A39</f>
        <v>Current Portion of LTD</v>
      </c>
      <c r="M39" s="67">
        <f t="shared" ref="M39:M43" si="47">B39/B$36</f>
        <v>0</v>
      </c>
      <c r="N39" s="67">
        <f t="shared" ref="N39:N43" si="48">C39/C$36</f>
        <v>0</v>
      </c>
      <c r="O39" s="67"/>
      <c r="P39" s="67"/>
      <c r="Q39" s="67"/>
      <c r="R39" s="67"/>
      <c r="S39" s="67"/>
      <c r="T39" s="67"/>
      <c r="W39" s="3"/>
      <c r="X39" s="3"/>
      <c r="AC39" s="12" t="s">
        <v>82</v>
      </c>
    </row>
    <row r="40" spans="1:31">
      <c r="A40" s="37" t="s">
        <v>84</v>
      </c>
      <c r="B40" s="139">
        <v>13118703</v>
      </c>
      <c r="C40" s="139">
        <v>8926216</v>
      </c>
      <c r="D40" s="139">
        <v>16166126</v>
      </c>
      <c r="E40" s="139">
        <v>10820869</v>
      </c>
      <c r="F40" s="139">
        <v>11242580</v>
      </c>
      <c r="G40" s="139">
        <v>14845777</v>
      </c>
      <c r="H40" s="139">
        <v>19627144</v>
      </c>
      <c r="I40" s="139">
        <v>30476097</v>
      </c>
      <c r="J40" s="67">
        <f t="shared" ref="J40:J43" si="49">RATE(5,,-D40,I40)</f>
        <v>0.13519554360008088</v>
      </c>
      <c r="K40" s="3"/>
      <c r="L40" s="37" t="str">
        <f>A40</f>
        <v>Acounts Payable</v>
      </c>
      <c r="M40" s="67">
        <f t="shared" si="47"/>
        <v>2.5530958257582705E-2</v>
      </c>
      <c r="N40" s="67">
        <f t="shared" si="48"/>
        <v>1.781861387454137E-2</v>
      </c>
      <c r="O40" s="67">
        <f t="shared" ref="O40:S43" si="50">D40/D$36</f>
        <v>3.1803989577745051E-2</v>
      </c>
      <c r="P40" s="216">
        <f t="shared" si="50"/>
        <v>2.163305639487206E-2</v>
      </c>
      <c r="Q40" s="216">
        <f t="shared" si="50"/>
        <v>2.3464992967502422E-2</v>
      </c>
      <c r="R40" s="216">
        <f t="shared" si="50"/>
        <v>3.1707938274417313E-2</v>
      </c>
      <c r="S40" s="216">
        <f t="shared" si="50"/>
        <v>4.2651523472469068E-2</v>
      </c>
      <c r="T40" s="216">
        <f t="shared" ref="T40:T43" si="51">I40/I$36</f>
        <v>6.6206144396392649E-2</v>
      </c>
      <c r="U40" s="67">
        <f t="shared" ref="U40:U43" si="52">SUM(D40:I40)/SUM(D$36:I$36)</f>
        <v>3.5871654156336648E-2</v>
      </c>
      <c r="W40" s="3"/>
      <c r="X40" s="3">
        <f>AVERAGE(Q40:T40)</f>
        <v>4.100764977769536E-2</v>
      </c>
      <c r="Z40" s="1">
        <f>E40/E71</f>
        <v>4.8882617518819754E-2</v>
      </c>
      <c r="AA40" s="1">
        <f>F40/F71</f>
        <v>4.5758153876089565E-2</v>
      </c>
      <c r="AC40" s="36">
        <f ca="1">AVERAGE(Y40:AD40)</f>
        <v>4.7320385697454663E-2</v>
      </c>
    </row>
    <row r="41" spans="1:31">
      <c r="A41" s="80" t="s">
        <v>108</v>
      </c>
      <c r="B41" s="139">
        <v>355864</v>
      </c>
      <c r="C41" s="139">
        <v>2680521</v>
      </c>
      <c r="D41" s="139">
        <v>2605792</v>
      </c>
      <c r="E41" s="139">
        <v>2060413</v>
      </c>
      <c r="F41" s="139">
        <v>2065851</v>
      </c>
      <c r="G41" s="139">
        <v>2479318</v>
      </c>
      <c r="H41" s="139">
        <v>2502957</v>
      </c>
      <c r="I41" s="139">
        <v>2368215</v>
      </c>
      <c r="J41" s="67">
        <f t="shared" si="49"/>
        <v>-1.8938402215031999E-2</v>
      </c>
      <c r="K41" s="3"/>
      <c r="L41" s="37" t="str">
        <f>A41</f>
        <v>Customer Deposits</v>
      </c>
      <c r="M41" s="67">
        <f t="shared" si="47"/>
        <v>6.9256457207518237E-4</v>
      </c>
      <c r="N41" s="67">
        <f t="shared" si="48"/>
        <v>5.3508864990046744E-3</v>
      </c>
      <c r="O41" s="67">
        <f t="shared" si="50"/>
        <v>5.1264342248582891E-3</v>
      </c>
      <c r="P41" s="216">
        <f t="shared" si="50"/>
        <v>4.1191729264745307E-3</v>
      </c>
      <c r="Q41" s="216">
        <f t="shared" si="50"/>
        <v>4.3117486543931948E-3</v>
      </c>
      <c r="R41" s="216">
        <f t="shared" si="50"/>
        <v>5.2953821215724704E-3</v>
      </c>
      <c r="S41" s="216">
        <f t="shared" si="50"/>
        <v>5.4391473989328643E-3</v>
      </c>
      <c r="T41" s="216">
        <f t="shared" si="51"/>
        <v>5.1447002630193427E-3</v>
      </c>
      <c r="U41" s="67">
        <f t="shared" si="52"/>
        <v>4.8960177209695236E-3</v>
      </c>
      <c r="W41" s="3"/>
      <c r="X41" s="3">
        <f>+S41</f>
        <v>5.4391473989328643E-3</v>
      </c>
      <c r="Y41" s="1">
        <f>D41/D71</f>
        <v>1.2115214697183258E-2</v>
      </c>
      <c r="Z41" s="1">
        <f>E41/E71</f>
        <v>9.3077904011040109E-3</v>
      </c>
      <c r="AA41" s="1">
        <f>F41/F71</f>
        <v>8.4081703615249796E-3</v>
      </c>
      <c r="AB41" s="1">
        <f>G41/G71</f>
        <v>9.1700350418326328E-3</v>
      </c>
      <c r="AC41" s="1">
        <f>AVERAGE(Y41:AB41)</f>
        <v>9.75030262541122E-3</v>
      </c>
    </row>
    <row r="42" spans="1:31">
      <c r="A42" s="37" t="s">
        <v>71</v>
      </c>
      <c r="B42" s="148">
        <f>69853+4768+10573931</f>
        <v>10648552</v>
      </c>
      <c r="C42" s="148">
        <f>59559+23305+13166898</f>
        <v>13249762</v>
      </c>
      <c r="D42" s="141">
        <f>61181+104438+152120+14105869</f>
        <v>14423608</v>
      </c>
      <c r="E42" s="141">
        <f>197305+134089+13567207</f>
        <v>13898601</v>
      </c>
      <c r="F42" s="141">
        <f>69380+138382+14182441+0</f>
        <v>14390203</v>
      </c>
      <c r="G42" s="141">
        <f>191882+30420+12520043+1119681</f>
        <v>13862026</v>
      </c>
      <c r="H42" s="141">
        <f>30265+132681+14582305</f>
        <v>14745251</v>
      </c>
      <c r="I42" s="141">
        <f>46047978-32844312</f>
        <v>13203666</v>
      </c>
      <c r="J42" s="68">
        <f t="shared" si="49"/>
        <v>-1.7519082736271788E-2</v>
      </c>
      <c r="K42" s="3"/>
      <c r="L42" s="37" t="str">
        <f>A42</f>
        <v xml:space="preserve">Other </v>
      </c>
      <c r="M42" s="93">
        <f t="shared" si="47"/>
        <v>2.0723674940708606E-2</v>
      </c>
      <c r="N42" s="93">
        <f t="shared" si="48"/>
        <v>2.6449325560525424E-2</v>
      </c>
      <c r="O42" s="93">
        <f t="shared" si="50"/>
        <v>2.8375894045702732E-2</v>
      </c>
      <c r="P42" s="232">
        <f t="shared" si="50"/>
        <v>2.7786051124251223E-2</v>
      </c>
      <c r="Q42" s="232">
        <f t="shared" si="50"/>
        <v>3.0034566104571395E-2</v>
      </c>
      <c r="R42" s="232">
        <f t="shared" si="50"/>
        <v>2.9606821169842975E-2</v>
      </c>
      <c r="S42" s="232">
        <f t="shared" si="50"/>
        <v>3.2042737299626887E-2</v>
      </c>
      <c r="T42" s="232">
        <f t="shared" si="51"/>
        <v>2.8683588248119174E-2</v>
      </c>
      <c r="U42" s="68">
        <f t="shared" si="52"/>
        <v>2.9385868430026642E-2</v>
      </c>
      <c r="W42" s="3"/>
      <c r="X42" s="3">
        <f>AVERAGE(Q42:T42)</f>
        <v>3.009192820554011E-2</v>
      </c>
    </row>
    <row r="43" spans="1:31">
      <c r="A43" s="37" t="s">
        <v>46</v>
      </c>
      <c r="B43" s="139">
        <f t="shared" ref="B43:I43" si="53">SUM(B38:B42)</f>
        <v>24123119</v>
      </c>
      <c r="C43" s="139">
        <f t="shared" si="53"/>
        <v>24856499</v>
      </c>
      <c r="D43" s="137">
        <f t="shared" si="53"/>
        <v>33195526</v>
      </c>
      <c r="E43" s="137">
        <f t="shared" si="53"/>
        <v>26779883</v>
      </c>
      <c r="F43" s="137">
        <f t="shared" si="53"/>
        <v>27698634</v>
      </c>
      <c r="G43" s="137">
        <f t="shared" si="53"/>
        <v>31187121</v>
      </c>
      <c r="H43" s="137">
        <f t="shared" si="53"/>
        <v>36875352</v>
      </c>
      <c r="I43" s="137">
        <f t="shared" si="53"/>
        <v>46047978</v>
      </c>
      <c r="J43" s="67">
        <f t="shared" si="49"/>
        <v>6.7643356627925852E-2</v>
      </c>
      <c r="K43" s="3"/>
      <c r="L43" s="37" t="s">
        <v>46</v>
      </c>
      <c r="M43" s="67">
        <f t="shared" si="47"/>
        <v>4.6947197770366496E-2</v>
      </c>
      <c r="N43" s="67">
        <f t="shared" si="48"/>
        <v>4.9618825934071464E-2</v>
      </c>
      <c r="O43" s="67">
        <f t="shared" si="50"/>
        <v>6.5306317848306067E-2</v>
      </c>
      <c r="P43" s="216">
        <f t="shared" si="50"/>
        <v>5.3538280445597816E-2</v>
      </c>
      <c r="Q43" s="216">
        <f t="shared" si="50"/>
        <v>5.7811307726467011E-2</v>
      </c>
      <c r="R43" s="216">
        <f t="shared" si="50"/>
        <v>6.6610141565832767E-2</v>
      </c>
      <c r="S43" s="216">
        <f t="shared" si="50"/>
        <v>8.0133408171028819E-2</v>
      </c>
      <c r="T43" s="216">
        <f t="shared" si="51"/>
        <v>0.10003443290753117</v>
      </c>
      <c r="U43" s="67">
        <f t="shared" si="52"/>
        <v>7.0153540307332812E-2</v>
      </c>
      <c r="W43" s="3"/>
      <c r="X43" s="3">
        <f>+X42+X41+X40</f>
        <v>7.6538725382168327E-2</v>
      </c>
    </row>
    <row r="44" spans="1:31">
      <c r="B44" s="139"/>
      <c r="C44" s="139"/>
      <c r="D44" s="144"/>
      <c r="E44" s="144"/>
      <c r="F44" s="144"/>
      <c r="G44" s="144"/>
      <c r="H44" s="144"/>
      <c r="I44" s="144"/>
      <c r="K44" s="3"/>
      <c r="L44" s="37"/>
      <c r="O44" s="67"/>
      <c r="P44" s="216"/>
      <c r="Q44" s="216"/>
      <c r="R44" s="216"/>
      <c r="S44" s="216"/>
      <c r="T44" s="216"/>
      <c r="U44" s="216"/>
      <c r="W44" s="3"/>
      <c r="X44" s="3"/>
    </row>
    <row r="45" spans="1:31">
      <c r="A45" s="81" t="s">
        <v>67</v>
      </c>
      <c r="B45" s="139">
        <v>316591925</v>
      </c>
      <c r="C45" s="139">
        <v>306008831</v>
      </c>
      <c r="D45" s="137">
        <v>326347462</v>
      </c>
      <c r="E45" s="137">
        <v>318334596</v>
      </c>
      <c r="F45" s="137">
        <v>306810720</v>
      </c>
      <c r="G45" s="137">
        <v>285644886</v>
      </c>
      <c r="H45" s="137">
        <v>285920939</v>
      </c>
      <c r="I45" s="137">
        <v>275516294</v>
      </c>
      <c r="J45" s="67">
        <f t="shared" ref="J45:J48" si="54">RATE(5,,-D45,I45)</f>
        <v>-3.3296235729909397E-2</v>
      </c>
      <c r="K45" s="3"/>
      <c r="L45" s="81" t="str">
        <f>A45</f>
        <v>Long-Term Debt</v>
      </c>
      <c r="M45" s="67">
        <f t="shared" ref="M45:M48" si="55">B45/B$36</f>
        <v>0.61613524003575315</v>
      </c>
      <c r="N45" s="67">
        <f t="shared" ref="N45:N48" si="56">C45/C$36</f>
        <v>0.61085830790883677</v>
      </c>
      <c r="O45" s="67">
        <f t="shared" ref="O45:S48" si="57">D45/D$36</f>
        <v>0.64203082916535159</v>
      </c>
      <c r="P45" s="216">
        <f t="shared" si="57"/>
        <v>0.63641379150850219</v>
      </c>
      <c r="Q45" s="216">
        <f t="shared" si="57"/>
        <v>0.64036114371917785</v>
      </c>
      <c r="R45" s="216">
        <f t="shared" si="57"/>
        <v>0.61008665384714933</v>
      </c>
      <c r="S45" s="216">
        <f t="shared" si="57"/>
        <v>0.62133154171737348</v>
      </c>
      <c r="T45" s="216">
        <f t="shared" ref="T45:T48" si="58">I45/I$36</f>
        <v>0.59853043334659839</v>
      </c>
      <c r="U45" s="67">
        <f t="shared" ref="U45:U48" si="59">SUM(D45:I45)/SUM(D$36:I$36)</f>
        <v>0.62530273774379541</v>
      </c>
      <c r="W45" s="3"/>
      <c r="X45" s="3"/>
    </row>
    <row r="46" spans="1:31">
      <c r="A46" s="37" t="s">
        <v>10</v>
      </c>
      <c r="B46" s="139">
        <v>54592010</v>
      </c>
      <c r="C46" s="139">
        <v>55890423</v>
      </c>
      <c r="D46" s="139">
        <v>47788359</v>
      </c>
      <c r="E46" s="139">
        <v>45937925</v>
      </c>
      <c r="F46" s="139">
        <v>49507750</v>
      </c>
      <c r="G46" s="139">
        <v>53260604</v>
      </c>
      <c r="H46" s="139">
        <v>52749270</v>
      </c>
      <c r="I46" s="139">
        <v>50358257</v>
      </c>
      <c r="J46" s="67">
        <f t="shared" si="54"/>
        <v>1.0531171211433399E-2</v>
      </c>
      <c r="K46" s="3"/>
      <c r="L46" s="37" t="str">
        <f>A46</f>
        <v>Deferred Income Taxes</v>
      </c>
      <c r="M46" s="67">
        <f t="shared" si="55"/>
        <v>0.10624421701654024</v>
      </c>
      <c r="N46" s="67">
        <f t="shared" si="56"/>
        <v>0.11156909789341711</v>
      </c>
      <c r="O46" s="67">
        <f t="shared" si="57"/>
        <v>9.4015132108554569E-2</v>
      </c>
      <c r="P46" s="216">
        <f t="shared" si="57"/>
        <v>9.183899390967612E-2</v>
      </c>
      <c r="Q46" s="216">
        <f t="shared" si="57"/>
        <v>0.1033302858940624</v>
      </c>
      <c r="R46" s="216">
        <f t="shared" si="57"/>
        <v>0.11375517388481478</v>
      </c>
      <c r="S46" s="216">
        <f t="shared" si="57"/>
        <v>0.11462883889579699</v>
      </c>
      <c r="T46" s="216">
        <f t="shared" si="58"/>
        <v>0.10939806480116698</v>
      </c>
      <c r="U46" s="67">
        <f t="shared" si="59"/>
        <v>0.10416138595115082</v>
      </c>
      <c r="W46" s="3"/>
      <c r="X46" s="3">
        <f>+T46</f>
        <v>0.10939806480116698</v>
      </c>
      <c r="Y46" s="1">
        <f>D46/D21</f>
        <v>0.1097104449553202</v>
      </c>
      <c r="Z46" s="1">
        <f>E46/E21</f>
        <v>0.10455886071670893</v>
      </c>
      <c r="AA46" s="1">
        <f>F46/F21</f>
        <v>0.11142249084777704</v>
      </c>
      <c r="AB46" s="1">
        <f>G46/G21</f>
        <v>0.11863998675933955</v>
      </c>
      <c r="AE46" s="1">
        <f>AVERAGE(Y46:AD46)</f>
        <v>0.11108294581978644</v>
      </c>
    </row>
    <row r="47" spans="1:31">
      <c r="A47" s="37" t="s">
        <v>68</v>
      </c>
      <c r="B47" s="148">
        <v>24853166</v>
      </c>
      <c r="C47" s="148">
        <v>23102971</v>
      </c>
      <c r="D47" s="141">
        <v>14841253</v>
      </c>
      <c r="E47" s="141">
        <v>12185976</v>
      </c>
      <c r="F47" s="141">
        <v>8635599</v>
      </c>
      <c r="G47" s="141">
        <v>4826239</v>
      </c>
      <c r="H47" s="141">
        <v>1540278</v>
      </c>
      <c r="I47" s="141">
        <v>1244584</v>
      </c>
      <c r="J47" s="68">
        <f t="shared" si="54"/>
        <v>-0.39086896250708192</v>
      </c>
      <c r="K47" s="3"/>
      <c r="L47" s="37" t="str">
        <f>A47</f>
        <v>Other Deferred Credits</v>
      </c>
      <c r="M47" s="93">
        <f t="shared" si="55"/>
        <v>4.8367978428566737E-2</v>
      </c>
      <c r="N47" s="93">
        <f t="shared" si="56"/>
        <v>4.6118413402020171E-2</v>
      </c>
      <c r="O47" s="93">
        <f t="shared" si="57"/>
        <v>2.9197536610359058E-2</v>
      </c>
      <c r="P47" s="232">
        <f t="shared" si="57"/>
        <v>2.4362175166759478E-2</v>
      </c>
      <c r="Q47" s="232">
        <f t="shared" si="57"/>
        <v>1.8023822806257191E-2</v>
      </c>
      <c r="R47" s="232">
        <f t="shared" si="57"/>
        <v>1.0307987807548607E-2</v>
      </c>
      <c r="S47" s="232">
        <f t="shared" si="57"/>
        <v>3.3471606093646491E-3</v>
      </c>
      <c r="T47" s="232">
        <f t="shared" si="58"/>
        <v>2.7037290246661157E-3</v>
      </c>
      <c r="U47" s="68">
        <f t="shared" si="59"/>
        <v>1.5044859305978974E-2</v>
      </c>
      <c r="W47" s="3"/>
      <c r="X47" s="3">
        <f>+S47</f>
        <v>3.3471606093646491E-3</v>
      </c>
      <c r="Y47" s="8"/>
    </row>
    <row r="48" spans="1:31">
      <c r="A48" s="81" t="s">
        <v>69</v>
      </c>
      <c r="B48" s="139">
        <f t="shared" ref="B48:C48" si="60">SUM(B45:B47)</f>
        <v>396037101</v>
      </c>
      <c r="C48" s="139">
        <f t="shared" si="60"/>
        <v>385002225</v>
      </c>
      <c r="D48" s="137">
        <f t="shared" ref="D48:I48" si="61">SUM(D45:D47)</f>
        <v>388977074</v>
      </c>
      <c r="E48" s="137">
        <f t="shared" si="61"/>
        <v>376458497</v>
      </c>
      <c r="F48" s="137">
        <f t="shared" si="61"/>
        <v>364954069</v>
      </c>
      <c r="G48" s="137">
        <f t="shared" si="61"/>
        <v>343731729</v>
      </c>
      <c r="H48" s="137">
        <f t="shared" si="61"/>
        <v>340210487</v>
      </c>
      <c r="I48" s="137">
        <f t="shared" si="61"/>
        <v>327119135</v>
      </c>
      <c r="J48" s="67">
        <f t="shared" si="54"/>
        <v>-3.4046125502604996E-2</v>
      </c>
      <c r="K48" s="3"/>
      <c r="L48" s="37" t="str">
        <f>A48</f>
        <v>Total LTD &amp; Deferrals</v>
      </c>
      <c r="M48" s="67">
        <f t="shared" si="55"/>
        <v>0.77074743548086011</v>
      </c>
      <c r="N48" s="67">
        <f t="shared" si="56"/>
        <v>0.76854581920427401</v>
      </c>
      <c r="O48" s="67">
        <f t="shared" si="57"/>
        <v>0.76524349788426527</v>
      </c>
      <c r="P48" s="216">
        <f t="shared" si="57"/>
        <v>0.75261496058493771</v>
      </c>
      <c r="Q48" s="216">
        <f t="shared" si="57"/>
        <v>0.76171525241949745</v>
      </c>
      <c r="R48" s="216">
        <f t="shared" si="57"/>
        <v>0.73414981553951264</v>
      </c>
      <c r="S48" s="216">
        <f t="shared" si="57"/>
        <v>0.73930754122253517</v>
      </c>
      <c r="T48" s="216">
        <f t="shared" si="58"/>
        <v>0.71063222717243146</v>
      </c>
      <c r="U48" s="67">
        <f t="shared" si="59"/>
        <v>0.74450898300092516</v>
      </c>
      <c r="W48" s="3"/>
      <c r="X48" s="3"/>
    </row>
    <row r="49" spans="1:32" ht="7.5" customHeight="1">
      <c r="A49" s="81"/>
      <c r="B49" s="139"/>
      <c r="C49" s="139"/>
      <c r="D49" s="137"/>
      <c r="E49" s="137"/>
      <c r="F49" s="137"/>
      <c r="G49" s="137"/>
      <c r="H49" s="137"/>
      <c r="I49" s="137"/>
      <c r="K49" s="3"/>
      <c r="L49" s="81"/>
      <c r="O49" s="67"/>
      <c r="P49" s="216"/>
      <c r="Q49" s="216"/>
      <c r="R49" s="216"/>
      <c r="S49" s="216"/>
      <c r="T49" s="216"/>
      <c r="U49" s="216"/>
      <c r="W49" s="3"/>
      <c r="X49" s="3"/>
    </row>
    <row r="50" spans="1:32">
      <c r="A50" s="37" t="s">
        <v>47</v>
      </c>
      <c r="B50" s="139">
        <f t="shared" ref="B50:C50" si="62">B48+B43</f>
        <v>420160220</v>
      </c>
      <c r="C50" s="139">
        <f t="shared" si="62"/>
        <v>409858724</v>
      </c>
      <c r="D50" s="137">
        <f t="shared" ref="D50:I50" si="63">D48+D43</f>
        <v>422172600</v>
      </c>
      <c r="E50" s="137">
        <f t="shared" si="63"/>
        <v>403238380</v>
      </c>
      <c r="F50" s="137">
        <f t="shared" si="63"/>
        <v>392652703</v>
      </c>
      <c r="G50" s="137">
        <f t="shared" si="63"/>
        <v>374918850</v>
      </c>
      <c r="H50" s="137">
        <f t="shared" si="63"/>
        <v>377085839</v>
      </c>
      <c r="I50" s="137">
        <f t="shared" si="63"/>
        <v>373167113</v>
      </c>
      <c r="J50" s="67">
        <f>RATE(5,,-D50,I50)</f>
        <v>-2.4375576233974537E-2</v>
      </c>
      <c r="K50" s="3"/>
      <c r="L50" s="37" t="str">
        <f>A50</f>
        <v>Total Liabilities</v>
      </c>
      <c r="M50" s="67">
        <f t="shared" ref="M50" si="64">B50/B$36</f>
        <v>0.8176946332512266</v>
      </c>
      <c r="N50" s="67">
        <f t="shared" ref="N50" si="65">C50/C$36</f>
        <v>0.81816464513834553</v>
      </c>
      <c r="O50" s="67">
        <f t="shared" ref="O50:T50" si="66">D50/D$36</f>
        <v>0.83054981573257125</v>
      </c>
      <c r="P50" s="216">
        <f t="shared" si="66"/>
        <v>0.80615324103053554</v>
      </c>
      <c r="Q50" s="216">
        <f t="shared" si="66"/>
        <v>0.81952656014596448</v>
      </c>
      <c r="R50" s="216">
        <f t="shared" si="66"/>
        <v>0.80075995710534542</v>
      </c>
      <c r="S50" s="216">
        <f t="shared" si="66"/>
        <v>0.81944094939356393</v>
      </c>
      <c r="T50" s="216">
        <f t="shared" si="66"/>
        <v>0.81066666007996269</v>
      </c>
      <c r="U50" s="67">
        <f t="shared" ref="U50" si="67">SUM(D50:I50)/SUM(D$36:I$36)</f>
        <v>0.81466252330825806</v>
      </c>
      <c r="W50" s="3"/>
      <c r="X50" s="3"/>
    </row>
    <row r="51" spans="1:32" ht="7.5" customHeight="1">
      <c r="B51" s="139"/>
      <c r="C51" s="139"/>
      <c r="D51" s="144"/>
      <c r="E51" s="144"/>
      <c r="F51" s="144"/>
      <c r="G51" s="144"/>
      <c r="H51" s="144"/>
      <c r="I51" s="144"/>
      <c r="K51" s="3"/>
      <c r="L51" s="37"/>
      <c r="O51" s="67"/>
      <c r="P51" s="216"/>
      <c r="Q51" s="216"/>
      <c r="R51" s="216"/>
      <c r="S51" s="216"/>
      <c r="T51" s="216"/>
      <c r="U51" s="216"/>
      <c r="W51" s="3"/>
      <c r="X51" s="3"/>
    </row>
    <row r="52" spans="1:32">
      <c r="A52" s="78" t="s">
        <v>118</v>
      </c>
      <c r="B52" s="139"/>
      <c r="C52" s="139"/>
      <c r="D52" s="144"/>
      <c r="E52" s="144"/>
      <c r="F52" s="144"/>
      <c r="G52" s="144"/>
      <c r="H52" s="144"/>
      <c r="I52" s="144"/>
      <c r="K52" s="3"/>
      <c r="L52" s="131" t="str">
        <f>A52</f>
        <v>Patronage Equity:</v>
      </c>
      <c r="M52" s="37"/>
      <c r="N52" s="37"/>
      <c r="O52" s="37"/>
      <c r="P52" s="155"/>
      <c r="Q52" s="155"/>
      <c r="R52" s="155"/>
      <c r="S52" s="155"/>
      <c r="T52" s="155"/>
      <c r="U52" s="216"/>
      <c r="W52" s="3"/>
      <c r="X52" s="3"/>
      <c r="AC52" s="30">
        <v>2005</v>
      </c>
      <c r="AD52" s="30">
        <v>2006</v>
      </c>
      <c r="AE52" s="30">
        <v>2007</v>
      </c>
      <c r="AF52" t="s">
        <v>3</v>
      </c>
    </row>
    <row r="53" spans="1:32">
      <c r="A53" s="82" t="s">
        <v>96</v>
      </c>
      <c r="B53" s="139">
        <v>93674900</v>
      </c>
      <c r="C53" s="139">
        <v>91090231</v>
      </c>
      <c r="D53" s="137">
        <v>86132371</v>
      </c>
      <c r="E53" s="137">
        <v>96962276</v>
      </c>
      <c r="F53" s="137">
        <v>86468685</v>
      </c>
      <c r="G53" s="137">
        <v>93284944</v>
      </c>
      <c r="H53" s="137">
        <v>83088673</v>
      </c>
      <c r="I53" s="137">
        <v>87154165</v>
      </c>
      <c r="J53" s="67">
        <f>RATE(5,,-D53,I53)</f>
        <v>2.3614340861047778E-3</v>
      </c>
      <c r="K53" s="3"/>
      <c r="L53" s="37" t="str">
        <f>A53</f>
        <v>Patrons Capital</v>
      </c>
      <c r="O53" s="67"/>
      <c r="P53" s="216"/>
      <c r="Q53" s="216"/>
      <c r="R53" s="216"/>
      <c r="S53" s="216"/>
      <c r="T53" s="216"/>
      <c r="U53" s="216"/>
      <c r="W53" s="3"/>
      <c r="X53" s="3"/>
      <c r="AB53" t="s">
        <v>112</v>
      </c>
      <c r="AC53">
        <f>E53-D53</f>
        <v>10829905</v>
      </c>
      <c r="AD53">
        <f>F53-E53</f>
        <v>-10493591</v>
      </c>
      <c r="AE53">
        <f>G53-F53</f>
        <v>6816259</v>
      </c>
    </row>
    <row r="54" spans="1:32">
      <c r="A54" s="82" t="s">
        <v>34</v>
      </c>
      <c r="B54" s="148"/>
      <c r="C54" s="148"/>
      <c r="D54" s="141"/>
      <c r="E54" s="141"/>
      <c r="F54" s="141"/>
      <c r="G54" s="141"/>
      <c r="H54" s="141"/>
      <c r="I54" s="141"/>
      <c r="J54" s="68"/>
      <c r="K54" s="3"/>
      <c r="L54" s="37" t="str">
        <f>A54</f>
        <v>Retained Earnings</v>
      </c>
      <c r="M54" s="93">
        <f t="shared" ref="M54:N56" si="68">B54/B$36</f>
        <v>0</v>
      </c>
      <c r="N54" s="93">
        <f t="shared" si="68"/>
        <v>0</v>
      </c>
      <c r="O54" s="93">
        <f t="shared" ref="O54:T56" si="69">D54/D$36</f>
        <v>0</v>
      </c>
      <c r="P54" s="232">
        <f t="shared" si="69"/>
        <v>0</v>
      </c>
      <c r="Q54" s="232">
        <f t="shared" si="69"/>
        <v>0</v>
      </c>
      <c r="R54" s="232">
        <f t="shared" si="69"/>
        <v>0</v>
      </c>
      <c r="S54" s="232">
        <f t="shared" si="69"/>
        <v>0</v>
      </c>
      <c r="T54" s="232">
        <f t="shared" si="69"/>
        <v>0</v>
      </c>
      <c r="U54" s="68">
        <f t="shared" ref="U54:U56" si="70">SUM(D54:I54)/SUM(D$36:I$36)</f>
        <v>0</v>
      </c>
      <c r="W54" s="3"/>
      <c r="X54" s="3"/>
    </row>
    <row r="55" spans="1:32">
      <c r="A55" s="37" t="s">
        <v>110</v>
      </c>
      <c r="B55" s="139">
        <f t="shared" ref="B55:C55" si="71">SUM(B52:B54)</f>
        <v>93674900</v>
      </c>
      <c r="C55" s="139">
        <f t="shared" si="71"/>
        <v>91090231</v>
      </c>
      <c r="D55" s="137">
        <f t="shared" ref="D55:I55" si="72">SUM(D52:D54)</f>
        <v>86132371</v>
      </c>
      <c r="E55" s="137">
        <f t="shared" si="72"/>
        <v>96962276</v>
      </c>
      <c r="F55" s="137">
        <f t="shared" si="72"/>
        <v>86468685</v>
      </c>
      <c r="G55" s="137">
        <f t="shared" si="72"/>
        <v>93284944</v>
      </c>
      <c r="H55" s="137">
        <f t="shared" si="72"/>
        <v>83088673</v>
      </c>
      <c r="I55" s="137">
        <f t="shared" si="72"/>
        <v>87154165</v>
      </c>
      <c r="J55" s="106">
        <f t="shared" ref="J55:J56" si="73">RATE(5,,-D55,I55)</f>
        <v>2.3614340861047778E-3</v>
      </c>
      <c r="K55" s="3"/>
      <c r="L55" s="37" t="str">
        <f>A55</f>
        <v>Total Patronage Equity</v>
      </c>
      <c r="M55" s="93">
        <f t="shared" si="68"/>
        <v>0.18230536674877343</v>
      </c>
      <c r="N55" s="93">
        <f t="shared" si="68"/>
        <v>0.18183535486165453</v>
      </c>
      <c r="O55" s="93">
        <f t="shared" si="69"/>
        <v>0.16945018426742869</v>
      </c>
      <c r="P55" s="93">
        <f>E55/E$36</f>
        <v>0.19384675896946443</v>
      </c>
      <c r="Q55" s="93">
        <f t="shared" si="69"/>
        <v>0.18047343985403549</v>
      </c>
      <c r="R55" s="93">
        <f t="shared" si="69"/>
        <v>0.19924004289465455</v>
      </c>
      <c r="S55" s="93">
        <f t="shared" si="69"/>
        <v>0.18055905060643601</v>
      </c>
      <c r="T55" s="93">
        <f t="shared" si="69"/>
        <v>0.18933333992003731</v>
      </c>
      <c r="U55" s="106">
        <f t="shared" si="70"/>
        <v>0.185337476691742</v>
      </c>
      <c r="W55" s="3"/>
      <c r="X55" s="3"/>
      <c r="AB55" t="s">
        <v>22</v>
      </c>
      <c r="AC55">
        <f>E96</f>
        <v>10829905</v>
      </c>
      <c r="AD55">
        <f>F96</f>
        <v>-9743591</v>
      </c>
      <c r="AE55">
        <f>G96</f>
        <v>7816259</v>
      </c>
    </row>
    <row r="56" spans="1:32" ht="13.5" thickBot="1">
      <c r="A56" s="37" t="s">
        <v>48</v>
      </c>
      <c r="B56" s="154">
        <f t="shared" ref="B56:C56" si="74">B55+B50</f>
        <v>513835120</v>
      </c>
      <c r="C56" s="154">
        <f t="shared" si="74"/>
        <v>500948955</v>
      </c>
      <c r="D56" s="146">
        <f t="shared" ref="D56:I56" si="75">D55+D50</f>
        <v>508304971</v>
      </c>
      <c r="E56" s="146">
        <f t="shared" si="75"/>
        <v>500200656</v>
      </c>
      <c r="F56" s="146">
        <f t="shared" si="75"/>
        <v>479121388</v>
      </c>
      <c r="G56" s="146">
        <f t="shared" si="75"/>
        <v>468203794</v>
      </c>
      <c r="H56" s="146">
        <f t="shared" si="75"/>
        <v>460174512</v>
      </c>
      <c r="I56" s="146">
        <f t="shared" si="75"/>
        <v>460321278</v>
      </c>
      <c r="J56" s="96">
        <f t="shared" si="73"/>
        <v>-1.9636037134382011E-2</v>
      </c>
      <c r="K56" s="3"/>
      <c r="L56" s="37" t="str">
        <f>A56</f>
        <v>Total Liabilities &amp; Equity</v>
      </c>
      <c r="M56" s="97">
        <f t="shared" si="68"/>
        <v>1</v>
      </c>
      <c r="N56" s="97">
        <f t="shared" si="68"/>
        <v>1</v>
      </c>
      <c r="O56" s="97">
        <f t="shared" si="69"/>
        <v>1</v>
      </c>
      <c r="P56" s="97">
        <f>E56/E$36</f>
        <v>1</v>
      </c>
      <c r="Q56" s="97">
        <f t="shared" si="69"/>
        <v>1</v>
      </c>
      <c r="R56" s="97">
        <f t="shared" si="69"/>
        <v>1</v>
      </c>
      <c r="S56" s="97">
        <f t="shared" si="69"/>
        <v>1</v>
      </c>
      <c r="T56" s="97">
        <f t="shared" si="69"/>
        <v>1</v>
      </c>
      <c r="U56" s="96">
        <f t="shared" si="70"/>
        <v>1</v>
      </c>
      <c r="W56" s="3"/>
      <c r="X56" s="3"/>
      <c r="AB56" t="s">
        <v>113</v>
      </c>
      <c r="AC56">
        <f>E99</f>
        <v>0</v>
      </c>
      <c r="AD56">
        <f>F99</f>
        <v>750000</v>
      </c>
      <c r="AE56">
        <f>G99</f>
        <v>1000000</v>
      </c>
    </row>
    <row r="57" spans="1:32" ht="13.5" thickTop="1">
      <c r="B57" s="137"/>
      <c r="C57" s="137"/>
      <c r="D57" s="144"/>
      <c r="E57" s="144"/>
      <c r="F57" s="144"/>
      <c r="G57" s="144"/>
      <c r="H57" s="144"/>
      <c r="I57" s="144"/>
      <c r="K57" s="15"/>
      <c r="O57" s="67"/>
      <c r="P57" s="67"/>
      <c r="Q57" s="67"/>
      <c r="R57" s="67"/>
      <c r="S57" s="67"/>
      <c r="T57" s="67"/>
      <c r="W57" s="15"/>
      <c r="X57" s="15"/>
      <c r="Y57" s="11"/>
      <c r="Z57" s="11"/>
      <c r="AA57" s="11"/>
      <c r="AC57">
        <f>AC55-AC56</f>
        <v>10829905</v>
      </c>
      <c r="AD57">
        <f>AD55-AD56</f>
        <v>-10493591</v>
      </c>
      <c r="AE57">
        <f>AE55-AE56</f>
        <v>6816259</v>
      </c>
    </row>
    <row r="58" spans="1:32">
      <c r="B58" s="147">
        <f t="shared" ref="B58:I58" si="76">+B56-B36</f>
        <v>0</v>
      </c>
      <c r="C58" s="147">
        <f t="shared" si="76"/>
        <v>0</v>
      </c>
      <c r="D58" s="147">
        <f t="shared" si="76"/>
        <v>0</v>
      </c>
      <c r="E58" s="147">
        <f t="shared" si="76"/>
        <v>0</v>
      </c>
      <c r="F58" s="147">
        <f t="shared" si="76"/>
        <v>0</v>
      </c>
      <c r="G58" s="147">
        <f t="shared" si="76"/>
        <v>0</v>
      </c>
      <c r="H58" s="147">
        <f t="shared" si="76"/>
        <v>0</v>
      </c>
      <c r="I58" s="147">
        <f t="shared" si="76"/>
        <v>0</v>
      </c>
      <c r="K58" s="15"/>
      <c r="O58" s="15"/>
      <c r="P58" s="15"/>
      <c r="Q58" s="15"/>
      <c r="R58" s="15"/>
      <c r="S58" s="15"/>
      <c r="T58" s="15"/>
      <c r="W58" s="15"/>
      <c r="X58" s="15"/>
      <c r="Y58" s="11"/>
      <c r="Z58" s="11"/>
      <c r="AA58" s="11"/>
    </row>
    <row r="59" spans="1:32">
      <c r="B59" s="66"/>
      <c r="C59" s="66"/>
      <c r="D59" s="11"/>
      <c r="E59" s="11"/>
      <c r="F59" s="11"/>
      <c r="G59" s="11"/>
      <c r="H59" s="11"/>
      <c r="I59" s="11"/>
      <c r="J59" s="71" t="str">
        <f>U1</f>
        <v>Exhibit 1</v>
      </c>
      <c r="K59" s="15"/>
      <c r="L59" s="37"/>
      <c r="M59" s="37"/>
      <c r="N59" s="37"/>
      <c r="O59" s="16"/>
      <c r="P59" s="16"/>
      <c r="Q59" s="16"/>
      <c r="R59" s="16"/>
      <c r="S59" s="16"/>
      <c r="T59" s="16"/>
      <c r="U59" s="71" t="str">
        <f>J59</f>
        <v>Exhibit 1</v>
      </c>
      <c r="W59" s="15"/>
      <c r="X59" s="15"/>
      <c r="Y59" s="11"/>
      <c r="Z59" s="11"/>
      <c r="AA59" s="11"/>
    </row>
    <row r="60" spans="1:32" ht="12.75" customHeight="1">
      <c r="B60" s="135"/>
      <c r="C60" s="135"/>
      <c r="D60" s="66"/>
      <c r="E60" s="66"/>
      <c r="F60" s="66"/>
      <c r="G60" s="66"/>
      <c r="H60" s="66"/>
      <c r="I60" s="66"/>
      <c r="J60" s="72" t="s">
        <v>176</v>
      </c>
      <c r="K60" s="50"/>
      <c r="L60" s="37"/>
      <c r="M60" s="37"/>
      <c r="N60" s="37"/>
      <c r="O60" s="40"/>
      <c r="P60" s="40"/>
      <c r="Q60" s="40"/>
      <c r="R60" s="40"/>
      <c r="S60" s="40"/>
      <c r="T60" s="40"/>
      <c r="U60" s="72" t="s">
        <v>175</v>
      </c>
      <c r="V60" s="132"/>
      <c r="W60" s="50"/>
      <c r="X60" s="50"/>
      <c r="Y60" s="11"/>
      <c r="Z60" s="11"/>
      <c r="AA60" s="11"/>
    </row>
    <row r="61" spans="1:32" ht="18">
      <c r="A61" s="269" t="str">
        <f>A3</f>
        <v>Deseret Generation &amp; Transmission</v>
      </c>
      <c r="B61" s="269"/>
      <c r="C61" s="269"/>
      <c r="D61" s="269"/>
      <c r="E61" s="269"/>
      <c r="F61" s="269"/>
      <c r="G61" s="269"/>
      <c r="H61" s="269"/>
      <c r="I61" s="269"/>
      <c r="J61" s="269"/>
      <c r="K61" s="49"/>
      <c r="L61" s="269" t="str">
        <f>A3</f>
        <v>Deseret Generation &amp; Transmission</v>
      </c>
      <c r="M61" s="269"/>
      <c r="N61" s="269"/>
      <c r="O61" s="269"/>
      <c r="P61" s="269"/>
      <c r="Q61" s="269"/>
      <c r="R61" s="269"/>
      <c r="S61" s="269"/>
      <c r="T61" s="269"/>
      <c r="U61" s="269"/>
      <c r="W61" s="49"/>
      <c r="X61" s="49"/>
    </row>
    <row r="62" spans="1:32" ht="15.75">
      <c r="A62" s="270" t="s">
        <v>17</v>
      </c>
      <c r="B62" s="270"/>
      <c r="C62" s="270"/>
      <c r="D62" s="270"/>
      <c r="E62" s="270"/>
      <c r="F62" s="270"/>
      <c r="G62" s="270"/>
      <c r="H62" s="270"/>
      <c r="I62" s="270"/>
      <c r="J62" s="270"/>
      <c r="K62" s="49"/>
      <c r="L62" s="270" t="s">
        <v>55</v>
      </c>
      <c r="M62" s="270"/>
      <c r="N62" s="270"/>
      <c r="O62" s="270"/>
      <c r="P62" s="270"/>
      <c r="Q62" s="270"/>
      <c r="R62" s="270"/>
      <c r="S62" s="270"/>
      <c r="T62" s="270"/>
      <c r="U62" s="270"/>
      <c r="W62" s="49"/>
      <c r="X62" s="49"/>
    </row>
    <row r="63" spans="1:32" ht="15.75">
      <c r="A63" s="271" t="str">
        <f>A5</f>
        <v>Years Ended December 31</v>
      </c>
      <c r="B63" s="271"/>
      <c r="C63" s="271"/>
      <c r="D63" s="271"/>
      <c r="E63" s="271"/>
      <c r="F63" s="271"/>
      <c r="G63" s="271"/>
      <c r="H63" s="271"/>
      <c r="I63" s="271"/>
      <c r="J63" s="271"/>
      <c r="K63" s="49"/>
      <c r="L63" s="272" t="s">
        <v>17</v>
      </c>
      <c r="M63" s="272"/>
      <c r="N63" s="272"/>
      <c r="O63" s="272"/>
      <c r="P63" s="272"/>
      <c r="Q63" s="272"/>
      <c r="R63" s="272"/>
      <c r="S63" s="272"/>
      <c r="T63" s="272"/>
      <c r="U63" s="272"/>
      <c r="W63" s="49"/>
      <c r="X63" s="49"/>
    </row>
    <row r="64" spans="1:32" ht="15.75">
      <c r="A64" s="74"/>
      <c r="B64" s="66"/>
      <c r="C64" s="66"/>
      <c r="D64" s="215"/>
      <c r="E64" s="215"/>
      <c r="F64" s="215"/>
      <c r="G64" s="215"/>
      <c r="H64" s="215"/>
      <c r="I64" s="215"/>
      <c r="J64" s="217"/>
      <c r="K64" s="49"/>
      <c r="L64" s="74"/>
      <c r="M64" s="74"/>
      <c r="N64" s="74"/>
      <c r="O64" s="5"/>
      <c r="P64" s="5"/>
      <c r="Q64" s="5"/>
      <c r="R64" s="5"/>
      <c r="S64" s="5"/>
      <c r="T64" s="5"/>
      <c r="U64" s="75"/>
      <c r="W64" s="49"/>
      <c r="X64" s="49"/>
    </row>
    <row r="65" spans="1:30">
      <c r="A65" s="115"/>
      <c r="B65" s="66"/>
      <c r="C65" s="66"/>
      <c r="D65" s="110"/>
      <c r="E65" s="110"/>
      <c r="F65" s="110"/>
      <c r="G65" s="110"/>
      <c r="H65" s="110"/>
      <c r="I65" s="110"/>
      <c r="J65" s="244" t="str">
        <f>+J7</f>
        <v>2005 to 2010</v>
      </c>
      <c r="K65" s="49"/>
      <c r="L65" s="69"/>
      <c r="M65" s="69"/>
      <c r="N65" s="69"/>
      <c r="O65" s="69"/>
      <c r="P65" s="69"/>
      <c r="Q65" s="69"/>
      <c r="R65" s="69"/>
      <c r="S65" s="69"/>
      <c r="T65" s="91"/>
      <c r="U65" s="71"/>
      <c r="W65" s="49"/>
      <c r="X65" s="49"/>
    </row>
    <row r="66" spans="1:30">
      <c r="A66" s="115"/>
      <c r="B66" s="66"/>
      <c r="C66" s="66"/>
      <c r="D66" s="110"/>
      <c r="E66" s="110"/>
      <c r="F66" s="110"/>
      <c r="G66" s="110"/>
      <c r="H66" s="110"/>
      <c r="I66" s="110"/>
      <c r="J66" s="244" t="s">
        <v>4</v>
      </c>
      <c r="K66" s="7"/>
      <c r="L66" s="107"/>
      <c r="M66" s="107"/>
      <c r="N66" s="107"/>
      <c r="O66" s="226"/>
      <c r="P66" s="226"/>
      <c r="Q66" s="226"/>
      <c r="R66" s="226"/>
      <c r="S66" s="226"/>
      <c r="T66" s="121"/>
      <c r="U66" s="125" t="str">
        <f>J7</f>
        <v>2005 to 2010</v>
      </c>
      <c r="V66" s="132"/>
      <c r="W66" s="7"/>
      <c r="X66" s="7"/>
      <c r="AB66" s="1">
        <f>(+AB72+AC72+Y72)/3</f>
        <v>0.49233144664944001</v>
      </c>
    </row>
    <row r="67" spans="1:30">
      <c r="A67" s="116" t="s">
        <v>0</v>
      </c>
      <c r="B67" s="134">
        <f>+C67-1</f>
        <v>2003</v>
      </c>
      <c r="C67" s="134">
        <f>+D67-1</f>
        <v>2004</v>
      </c>
      <c r="D67" s="124">
        <f>D9</f>
        <v>2005</v>
      </c>
      <c r="E67" s="119">
        <f>D67+1</f>
        <v>2006</v>
      </c>
      <c r="F67" s="119">
        <f>E67+1</f>
        <v>2007</v>
      </c>
      <c r="G67" s="120">
        <f>F67+1</f>
        <v>2008</v>
      </c>
      <c r="H67" s="120">
        <f>+H9</f>
        <v>2009</v>
      </c>
      <c r="I67" s="120">
        <f>+I9</f>
        <v>2010</v>
      </c>
      <c r="J67" s="245" t="s">
        <v>30</v>
      </c>
      <c r="K67" s="10"/>
      <c r="L67" s="111" t="s">
        <v>0</v>
      </c>
      <c r="M67" s="114">
        <f>+M9</f>
        <v>2003</v>
      </c>
      <c r="N67" s="114">
        <f>+N9</f>
        <v>2004</v>
      </c>
      <c r="O67" s="113">
        <f>D67</f>
        <v>2005</v>
      </c>
      <c r="P67" s="113">
        <f>E67</f>
        <v>2006</v>
      </c>
      <c r="Q67" s="113">
        <f>F67</f>
        <v>2007</v>
      </c>
      <c r="R67" s="114">
        <f>G67</f>
        <v>2008</v>
      </c>
      <c r="S67" s="114">
        <f>+S9</f>
        <v>2009</v>
      </c>
      <c r="T67" s="114">
        <f>+T9</f>
        <v>2010</v>
      </c>
      <c r="U67" s="129" t="s">
        <v>3</v>
      </c>
      <c r="W67" s="10"/>
      <c r="X67" s="10"/>
    </row>
    <row r="68" spans="1:30">
      <c r="A68" s="37" t="s">
        <v>28</v>
      </c>
      <c r="B68" s="66"/>
      <c r="C68" s="66"/>
      <c r="D68" s="37"/>
      <c r="E68" s="98"/>
      <c r="F68" s="98"/>
      <c r="G68" s="81"/>
      <c r="H68" s="81"/>
      <c r="I68" s="130"/>
      <c r="J68" s="216"/>
      <c r="K68" s="3"/>
      <c r="L68" s="37" t="s">
        <v>27</v>
      </c>
      <c r="M68" s="37"/>
      <c r="N68" s="37"/>
      <c r="O68" s="95"/>
      <c r="P68" s="95"/>
      <c r="Q68" s="95"/>
      <c r="R68" s="94"/>
      <c r="S68" s="94"/>
      <c r="T68" s="94"/>
      <c r="W68" s="3"/>
      <c r="X68" s="3"/>
    </row>
    <row r="69" spans="1:30">
      <c r="A69" s="37" t="s">
        <v>99</v>
      </c>
      <c r="B69" s="137">
        <v>188462368</v>
      </c>
      <c r="C69" s="137">
        <v>202425173</v>
      </c>
      <c r="D69" s="137">
        <v>215084261</v>
      </c>
      <c r="E69" s="137">
        <v>221364353</v>
      </c>
      <c r="F69" s="137">
        <v>245695664</v>
      </c>
      <c r="G69" s="137">
        <v>270371704</v>
      </c>
      <c r="H69" s="139">
        <v>227807740</v>
      </c>
      <c r="I69" s="139">
        <v>233233865</v>
      </c>
      <c r="J69" s="216">
        <f t="shared" ref="J69" si="77">RATE(5,,-D69,I69)</f>
        <v>1.6334329942404732E-2</v>
      </c>
      <c r="K69" s="3"/>
      <c r="L69" s="37" t="str">
        <f>A69</f>
        <v>Operating Revenues</v>
      </c>
      <c r="M69" s="67">
        <f t="shared" ref="M69:M71" si="78">B69/B$71</f>
        <v>1</v>
      </c>
      <c r="N69" s="67">
        <f t="shared" ref="N69:N71" si="79">C69/C$71</f>
        <v>1</v>
      </c>
      <c r="O69" s="67">
        <f t="shared" ref="O69:S71" si="80">D69/D$71</f>
        <v>1</v>
      </c>
      <c r="P69" s="67">
        <f t="shared" si="80"/>
        <v>1</v>
      </c>
      <c r="Q69" s="67">
        <f t="shared" si="80"/>
        <v>1</v>
      </c>
      <c r="R69" s="67">
        <f t="shared" si="80"/>
        <v>1</v>
      </c>
      <c r="S69" s="67">
        <f t="shared" si="80"/>
        <v>1</v>
      </c>
      <c r="T69" s="67">
        <f t="shared" ref="T69:T71" si="81">I69/I$71</f>
        <v>1</v>
      </c>
      <c r="U69" s="67">
        <f>SUM(D69:I69)/SUM(D$71:I$71)</f>
        <v>1</v>
      </c>
      <c r="W69" s="3"/>
      <c r="X69" s="3"/>
      <c r="Y69" s="162">
        <f>(+H69-G69)/G69</f>
        <v>-0.15742758347227045</v>
      </c>
    </row>
    <row r="70" spans="1:30">
      <c r="B70" s="141"/>
      <c r="C70" s="141"/>
      <c r="D70" s="141"/>
      <c r="E70" s="141"/>
      <c r="F70" s="141"/>
      <c r="G70" s="141"/>
      <c r="H70" s="148"/>
      <c r="I70" s="148"/>
      <c r="J70" s="220"/>
      <c r="K70" s="3"/>
      <c r="L70" s="37"/>
      <c r="M70" s="93">
        <f t="shared" si="78"/>
        <v>0</v>
      </c>
      <c r="N70" s="93">
        <f t="shared" si="79"/>
        <v>0</v>
      </c>
      <c r="O70" s="93"/>
      <c r="P70" s="93"/>
      <c r="Q70" s="93"/>
      <c r="R70" s="93"/>
      <c r="S70" s="93"/>
      <c r="T70" s="93"/>
      <c r="U70" s="68"/>
      <c r="W70" s="227">
        <f>+N67</f>
        <v>2004</v>
      </c>
      <c r="X70" s="227">
        <f>+O67</f>
        <v>2005</v>
      </c>
      <c r="Y70" s="227">
        <f t="shared" ref="Y70:AC70" si="82">+P67</f>
        <v>2006</v>
      </c>
      <c r="Z70" s="227">
        <f t="shared" si="82"/>
        <v>2007</v>
      </c>
      <c r="AA70" s="227">
        <f t="shared" si="82"/>
        <v>2008</v>
      </c>
      <c r="AB70" s="227">
        <f t="shared" si="82"/>
        <v>2009</v>
      </c>
      <c r="AC70" s="227">
        <f t="shared" si="82"/>
        <v>2010</v>
      </c>
    </row>
    <row r="71" spans="1:30">
      <c r="A71" s="37" t="s">
        <v>61</v>
      </c>
      <c r="B71" s="137">
        <f t="shared" ref="B71:H71" si="83">SUM(B68:B70)</f>
        <v>188462368</v>
      </c>
      <c r="C71" s="137">
        <f t="shared" si="83"/>
        <v>202425173</v>
      </c>
      <c r="D71" s="137">
        <f t="shared" si="83"/>
        <v>215084261</v>
      </c>
      <c r="E71" s="137">
        <f t="shared" si="83"/>
        <v>221364353</v>
      </c>
      <c r="F71" s="137">
        <f t="shared" si="83"/>
        <v>245695664</v>
      </c>
      <c r="G71" s="137">
        <f t="shared" si="83"/>
        <v>270371704</v>
      </c>
      <c r="H71" s="139">
        <f t="shared" si="83"/>
        <v>227807740</v>
      </c>
      <c r="I71" s="139">
        <f>SUM(I68:I70)</f>
        <v>233233865</v>
      </c>
      <c r="J71" s="216">
        <f t="shared" ref="J71" si="84">RATE(5,,-D71,I71)</f>
        <v>1.6334329942404732E-2</v>
      </c>
      <c r="K71" s="3"/>
      <c r="L71" s="37" t="str">
        <f>A71</f>
        <v>Total Revenues</v>
      </c>
      <c r="M71" s="67">
        <f t="shared" si="78"/>
        <v>1</v>
      </c>
      <c r="N71" s="67">
        <f t="shared" si="79"/>
        <v>1</v>
      </c>
      <c r="O71" s="67">
        <f t="shared" si="80"/>
        <v>1</v>
      </c>
      <c r="P71" s="67">
        <f t="shared" si="80"/>
        <v>1</v>
      </c>
      <c r="Q71" s="67">
        <f t="shared" si="80"/>
        <v>1</v>
      </c>
      <c r="R71" s="67">
        <f t="shared" si="80"/>
        <v>1</v>
      </c>
      <c r="S71" s="67">
        <f t="shared" si="80"/>
        <v>1</v>
      </c>
      <c r="T71" s="67">
        <f t="shared" si="81"/>
        <v>1</v>
      </c>
      <c r="U71" s="67">
        <f>SUM(D71:I71)/SUM(D$71:I$71)</f>
        <v>1</v>
      </c>
      <c r="W71" s="3"/>
      <c r="X71" s="1">
        <f>+X72-W72</f>
        <v>1.0872027860311329E-2</v>
      </c>
      <c r="Y71" s="1">
        <f>+Y72-X72</f>
        <v>4.0919946299975196E-2</v>
      </c>
      <c r="Z71" s="1">
        <f t="shared" ref="Z71:AC71" si="85">+Z72-Y72</f>
        <v>5.193470140279749E-2</v>
      </c>
      <c r="AA71" s="1">
        <f t="shared" si="85"/>
        <v>-0.12002041843119127</v>
      </c>
      <c r="AB71" s="1">
        <f t="shared" si="85"/>
        <v>6.5087819088437082E-2</v>
      </c>
      <c r="AC71" s="1">
        <f t="shared" si="85"/>
        <v>1.5539854888013571E-2</v>
      </c>
    </row>
    <row r="72" spans="1:30">
      <c r="B72" s="137"/>
      <c r="C72" s="137"/>
      <c r="D72" s="137"/>
      <c r="E72" s="137"/>
      <c r="F72" s="137"/>
      <c r="G72" s="137"/>
      <c r="H72" s="139"/>
      <c r="I72" s="139"/>
      <c r="J72" s="216"/>
      <c r="K72" s="3"/>
      <c r="L72" s="37"/>
      <c r="O72" s="67"/>
      <c r="P72" s="67"/>
      <c r="Q72" s="67"/>
      <c r="R72" s="67"/>
      <c r="S72" s="67"/>
      <c r="T72" s="67"/>
      <c r="W72" s="3">
        <f>+N74+N75</f>
        <v>0.43735811948645342</v>
      </c>
      <c r="X72" s="3">
        <f>+O74+O75</f>
        <v>0.44823014734676475</v>
      </c>
      <c r="Y72" s="3">
        <f t="shared" ref="Y72:AC72" si="86">+P74+P75</f>
        <v>0.48915009364673995</v>
      </c>
      <c r="Z72" s="3">
        <f t="shared" si="86"/>
        <v>0.54108479504953744</v>
      </c>
      <c r="AA72" s="3">
        <f t="shared" si="86"/>
        <v>0.42106437661834617</v>
      </c>
      <c r="AB72" s="3">
        <f t="shared" si="86"/>
        <v>0.48615219570678325</v>
      </c>
      <c r="AC72" s="3">
        <f t="shared" si="86"/>
        <v>0.50169205059479682</v>
      </c>
    </row>
    <row r="73" spans="1:30">
      <c r="A73" s="37" t="s">
        <v>26</v>
      </c>
      <c r="B73" s="137"/>
      <c r="C73" s="137"/>
      <c r="D73" s="137"/>
      <c r="E73" s="137"/>
      <c r="F73" s="137"/>
      <c r="G73" s="137"/>
      <c r="H73" s="139"/>
      <c r="I73" s="139"/>
      <c r="J73" s="216"/>
      <c r="K73" s="3"/>
      <c r="L73" s="37" t="s">
        <v>26</v>
      </c>
      <c r="O73" s="67"/>
      <c r="P73" s="67"/>
      <c r="Q73" s="216"/>
      <c r="R73" s="216"/>
      <c r="S73" s="216"/>
      <c r="T73" s="216"/>
      <c r="W73" s="3"/>
      <c r="X73" s="3"/>
    </row>
    <row r="74" spans="1:30">
      <c r="A74" s="83" t="s">
        <v>133</v>
      </c>
      <c r="B74" s="137">
        <v>70591242</v>
      </c>
      <c r="C74" s="137">
        <v>69611553</v>
      </c>
      <c r="D74" s="137">
        <v>70369709</v>
      </c>
      <c r="E74" s="137">
        <v>80318926</v>
      </c>
      <c r="F74" s="137">
        <v>93543876</v>
      </c>
      <c r="G74" s="139">
        <v>91021155</v>
      </c>
      <c r="H74" s="139">
        <v>77849123</v>
      </c>
      <c r="I74" s="139">
        <v>93442199</v>
      </c>
      <c r="J74" s="216">
        <f t="shared" ref="J74:J84" si="87">RATE(5,,-D74,I74)</f>
        <v>5.8355226995337212E-2</v>
      </c>
      <c r="K74" s="3"/>
      <c r="L74" s="88" t="str">
        <f t="shared" ref="L74:L83" si="88">A74</f>
        <v>Fuel (5)</v>
      </c>
      <c r="M74" s="67">
        <f t="shared" ref="M74:N84" si="89">B74/B$71</f>
        <v>0.37456412518386695</v>
      </c>
      <c r="N74" s="67">
        <f t="shared" si="89"/>
        <v>0.34388782762705111</v>
      </c>
      <c r="O74" s="67">
        <f>D74/D$71</f>
        <v>0.32717274928824291</v>
      </c>
      <c r="P74" s="67">
        <f t="shared" ref="P74:P84" si="90">E74/E$71</f>
        <v>0.36283586273712282</v>
      </c>
      <c r="Q74" s="216">
        <f t="shared" ref="Q74:Q84" si="91">F74/F$71</f>
        <v>0.38073067500287672</v>
      </c>
      <c r="R74" s="216">
        <f t="shared" ref="R74:S84" si="92">G74/G$71</f>
        <v>0.33665192641608682</v>
      </c>
      <c r="S74" s="216">
        <f t="shared" si="92"/>
        <v>0.34173168567494677</v>
      </c>
      <c r="T74" s="216">
        <f t="shared" ref="T74:T84" si="93">I74/I$71</f>
        <v>0.40063735598601857</v>
      </c>
      <c r="U74" s="67">
        <f t="shared" ref="U74:U81" si="94">SUM(D74:I74)/SUM(D$71:I$71)</f>
        <v>0.35834761360875494</v>
      </c>
      <c r="W74" s="3">
        <f>+C74/(C74+C75)</f>
        <v>0.78628431096888007</v>
      </c>
      <c r="X74" s="3">
        <f>+D74/(D74+D75)</f>
        <v>0.72992133890345379</v>
      </c>
      <c r="Y74" s="3">
        <f t="shared" ref="Y74:Z74" si="95">+E74/(E74+E75)</f>
        <v>0.74176795108447791</v>
      </c>
      <c r="Z74" s="3">
        <f t="shared" si="95"/>
        <v>0.70364327086297085</v>
      </c>
      <c r="AA74" s="3">
        <f t="shared" ref="AA74" si="96">+G74/(G74+G75)</f>
        <v>0.79952602288468821</v>
      </c>
      <c r="AB74" s="3">
        <f t="shared" ref="AB74" si="97">+H74/(H74+H75)</f>
        <v>0.70293148666772254</v>
      </c>
      <c r="AC74" s="3">
        <f t="shared" ref="AC74" si="98">+I74/(I74+I75)</f>
        <v>0.79857226262810099</v>
      </c>
      <c r="AD74" s="1">
        <f>AVERAGE(W74:AC74)</f>
        <v>0.75180666342861346</v>
      </c>
    </row>
    <row r="75" spans="1:30">
      <c r="A75" s="83" t="s">
        <v>132</v>
      </c>
      <c r="B75" s="137">
        <f>95414998-B74</f>
        <v>24823756</v>
      </c>
      <c r="C75" s="137">
        <f>88532293-C74</f>
        <v>18920740</v>
      </c>
      <c r="D75" s="137">
        <f>96407250-D74</f>
        <v>26037541</v>
      </c>
      <c r="E75" s="137">
        <f>108280394-E74</f>
        <v>27961468</v>
      </c>
      <c r="F75" s="137">
        <f>132942188-F74</f>
        <v>39398312</v>
      </c>
      <c r="G75" s="139">
        <f>113843893-G74</f>
        <v>22822738</v>
      </c>
      <c r="H75" s="139">
        <f>110749233-H74</f>
        <v>32900110</v>
      </c>
      <c r="I75" s="139">
        <f>117011576-I74</f>
        <v>23569377</v>
      </c>
      <c r="J75" s="216">
        <f t="shared" si="87"/>
        <v>-1.9721162090324106E-2</v>
      </c>
      <c r="K75" s="3"/>
      <c r="L75" s="88" t="str">
        <f t="shared" si="88"/>
        <v>Power Production (21 - 5)</v>
      </c>
      <c r="M75" s="67">
        <f t="shared" si="89"/>
        <v>0.13171730920838265</v>
      </c>
      <c r="N75" s="67">
        <f t="shared" si="89"/>
        <v>9.3470291859402282E-2</v>
      </c>
      <c r="O75" s="67">
        <f t="shared" ref="O75:O79" si="99">D75/D$71</f>
        <v>0.12105739805852182</v>
      </c>
      <c r="P75" s="67">
        <f t="shared" ref="P75:P79" si="100">E75/E$71</f>
        <v>0.12631423090961713</v>
      </c>
      <c r="Q75" s="216">
        <f t="shared" ref="Q75:Q79" si="101">F75/F$71</f>
        <v>0.16035412004666066</v>
      </c>
      <c r="R75" s="216">
        <f t="shared" ref="R75:R79" si="102">G75/G$71</f>
        <v>8.4412450202259334E-2</v>
      </c>
      <c r="S75" s="216">
        <f t="shared" ref="S75:S79" si="103">H75/H$71</f>
        <v>0.14442051003183651</v>
      </c>
      <c r="T75" s="216">
        <f t="shared" ref="T75:T79" si="104">I75/I$71</f>
        <v>0.10105469460877819</v>
      </c>
      <c r="U75" s="67">
        <f t="shared" si="94"/>
        <v>0.12216661534568241</v>
      </c>
      <c r="W75" s="3"/>
      <c r="X75" s="3"/>
      <c r="Y75" s="3"/>
      <c r="AA75">
        <f>15692247-14152538+285555+173547</f>
        <v>1998811</v>
      </c>
    </row>
    <row r="76" spans="1:30">
      <c r="A76" s="83" t="s">
        <v>134</v>
      </c>
      <c r="B76" s="137">
        <v>42496959</v>
      </c>
      <c r="C76" s="137">
        <v>54019327</v>
      </c>
      <c r="D76" s="137">
        <v>57667971</v>
      </c>
      <c r="E76" s="137">
        <v>51852157</v>
      </c>
      <c r="F76" s="137">
        <v>72983317</v>
      </c>
      <c r="G76" s="139">
        <v>83805104</v>
      </c>
      <c r="H76" s="139">
        <v>57188185</v>
      </c>
      <c r="I76" s="139">
        <v>53947271</v>
      </c>
      <c r="J76" s="216">
        <f t="shared" si="87"/>
        <v>-1.3250393777172615E-2</v>
      </c>
      <c r="K76" s="3"/>
      <c r="L76" s="88" t="str">
        <f t="shared" si="88"/>
        <v>Cost of Purchased Power (79)</v>
      </c>
      <c r="M76" s="67">
        <f t="shared" si="89"/>
        <v>0.2254930756255806</v>
      </c>
      <c r="N76" s="67">
        <f t="shared" si="89"/>
        <v>0.26686071796021138</v>
      </c>
      <c r="O76" s="67">
        <f t="shared" si="99"/>
        <v>0.26811804235178321</v>
      </c>
      <c r="P76" s="67">
        <f t="shared" si="100"/>
        <v>0.23423896529537436</v>
      </c>
      <c r="Q76" s="216">
        <f t="shared" si="101"/>
        <v>0.29704763939179651</v>
      </c>
      <c r="R76" s="216">
        <f t="shared" si="102"/>
        <v>0.30996255436552633</v>
      </c>
      <c r="S76" s="216">
        <f t="shared" si="103"/>
        <v>0.2510370587057314</v>
      </c>
      <c r="T76" s="216">
        <f t="shared" si="104"/>
        <v>0.23130119204601784</v>
      </c>
      <c r="U76" s="67">
        <f t="shared" si="94"/>
        <v>0.2670170698889256</v>
      </c>
      <c r="W76" s="3"/>
      <c r="X76" s="3"/>
      <c r="Y76" s="3"/>
    </row>
    <row r="77" spans="1:30">
      <c r="A77" s="83" t="s">
        <v>135</v>
      </c>
      <c r="B77" s="137">
        <f>6082480+611236</f>
        <v>6693716</v>
      </c>
      <c r="C77" s="137">
        <f>6139178+174751</f>
        <v>6313929</v>
      </c>
      <c r="D77" s="137">
        <v>8859648</v>
      </c>
      <c r="E77" s="137">
        <v>8200768</v>
      </c>
      <c r="F77" s="137">
        <v>9884814</v>
      </c>
      <c r="G77" s="139">
        <v>10740403</v>
      </c>
      <c r="H77" s="139">
        <v>10646809</v>
      </c>
      <c r="I77" s="139">
        <v>8599813</v>
      </c>
      <c r="J77" s="216">
        <f t="shared" si="87"/>
        <v>-5.9356293073599383E-3</v>
      </c>
      <c r="K77" s="3"/>
      <c r="L77" s="88" t="str">
        <f t="shared" si="88"/>
        <v>Operations / Transmission (99)</v>
      </c>
      <c r="M77" s="67">
        <f t="shared" si="89"/>
        <v>3.551752039961633E-2</v>
      </c>
      <c r="N77" s="67">
        <f t="shared" si="89"/>
        <v>3.1191422027338468E-2</v>
      </c>
      <c r="O77" s="67">
        <f t="shared" si="99"/>
        <v>4.1191521679961512E-2</v>
      </c>
      <c r="P77" s="67">
        <f t="shared" si="100"/>
        <v>3.7046470621220573E-2</v>
      </c>
      <c r="Q77" s="216">
        <f t="shared" si="101"/>
        <v>4.023194320596557E-2</v>
      </c>
      <c r="R77" s="216">
        <f t="shared" si="102"/>
        <v>3.9724582273594725E-2</v>
      </c>
      <c r="S77" s="216">
        <f t="shared" si="103"/>
        <v>4.6735940578665147E-2</v>
      </c>
      <c r="T77" s="216">
        <f t="shared" si="104"/>
        <v>3.6872059724260026E-2</v>
      </c>
      <c r="U77" s="67">
        <f t="shared" si="94"/>
        <v>4.0275865322775849E-2</v>
      </c>
      <c r="W77" s="3"/>
      <c r="X77" s="3"/>
      <c r="Y77" s="3"/>
    </row>
    <row r="78" spans="1:30">
      <c r="A78" s="83" t="s">
        <v>136</v>
      </c>
      <c r="B78" s="137">
        <f>1093648+4463</f>
        <v>1098111</v>
      </c>
      <c r="C78" s="137">
        <f>1206537</f>
        <v>1206537</v>
      </c>
      <c r="D78" s="137">
        <f>1612849+25768</f>
        <v>1638617</v>
      </c>
      <c r="E78" s="137">
        <f>1114128+15010</f>
        <v>1129138</v>
      </c>
      <c r="F78" s="137">
        <f>1270468+51165</f>
        <v>1321633</v>
      </c>
      <c r="G78" s="139">
        <f>1316287+21163</f>
        <v>1337450</v>
      </c>
      <c r="H78" s="139">
        <f>25768+1255775</f>
        <v>1281543</v>
      </c>
      <c r="I78" s="139">
        <f>1490658+12306</f>
        <v>1502964</v>
      </c>
      <c r="J78" s="216">
        <f t="shared" si="87"/>
        <v>-1.7134198023869569E-2</v>
      </c>
      <c r="K78" s="3"/>
      <c r="L78" s="88" t="str">
        <f t="shared" si="88"/>
        <v>Maintenance (111+156)</v>
      </c>
      <c r="M78" s="67">
        <f t="shared" si="89"/>
        <v>5.826685781641033E-3</v>
      </c>
      <c r="N78" s="67">
        <f t="shared" si="89"/>
        <v>5.9604098745169405E-3</v>
      </c>
      <c r="O78" s="67">
        <f t="shared" si="99"/>
        <v>7.6184886443178661E-3</v>
      </c>
      <c r="P78" s="67">
        <f t="shared" si="100"/>
        <v>5.1008122342082783E-3</v>
      </c>
      <c r="Q78" s="216">
        <f t="shared" si="101"/>
        <v>5.3791466177441375E-3</v>
      </c>
      <c r="R78" s="216">
        <f t="shared" si="102"/>
        <v>4.946708476564545E-3</v>
      </c>
      <c r="S78" s="216">
        <f t="shared" si="103"/>
        <v>5.6255463488641784E-3</v>
      </c>
      <c r="T78" s="216">
        <f t="shared" si="104"/>
        <v>6.4440213259768257E-3</v>
      </c>
      <c r="U78" s="67">
        <f t="shared" si="94"/>
        <v>5.8089922020276349E-3</v>
      </c>
      <c r="W78" s="3"/>
      <c r="X78" s="3"/>
      <c r="Y78" s="3"/>
    </row>
    <row r="79" spans="1:30">
      <c r="A79" s="83" t="s">
        <v>137</v>
      </c>
      <c r="B79" s="137">
        <f>47041+625754+13406158</f>
        <v>14078953</v>
      </c>
      <c r="C79" s="137">
        <f>74142+493401+15120539</f>
        <v>15688082</v>
      </c>
      <c r="D79" s="137">
        <f>48288+876746+8505967+11262</f>
        <v>9442263</v>
      </c>
      <c r="E79" s="137">
        <f>-3581082+1479038+12310881+1</f>
        <v>10208838</v>
      </c>
      <c r="F79" s="137">
        <f>35618+896828+11819640</f>
        <v>12752086</v>
      </c>
      <c r="G79" s="139">
        <f>42868+1324071+11190297</f>
        <v>12557236</v>
      </c>
      <c r="H79" s="139">
        <f>32425+1064819+15507822</f>
        <v>16605066</v>
      </c>
      <c r="I79" s="139">
        <f>38475+1104911+14052180</f>
        <v>15195566</v>
      </c>
      <c r="J79" s="216">
        <f t="shared" si="87"/>
        <v>9.9836574084932364E-2</v>
      </c>
      <c r="K79" s="3"/>
      <c r="L79" s="88" t="str">
        <f t="shared" si="88"/>
        <v>Sales General &amp; Admin(164, 178, 197)</v>
      </c>
      <c r="M79" s="67">
        <f t="shared" si="89"/>
        <v>7.4704319750455439E-2</v>
      </c>
      <c r="N79" s="67">
        <f t="shared" si="89"/>
        <v>7.7500647609672541E-2</v>
      </c>
      <c r="O79" s="67">
        <f t="shared" si="99"/>
        <v>4.3900297288605415E-2</v>
      </c>
      <c r="P79" s="67">
        <f t="shared" si="100"/>
        <v>4.6117804703632657E-2</v>
      </c>
      <c r="Q79" s="216">
        <f t="shared" si="101"/>
        <v>5.1901957862797284E-2</v>
      </c>
      <c r="R79" s="216">
        <f t="shared" si="102"/>
        <v>4.6444342415358671E-2</v>
      </c>
      <c r="S79" s="216">
        <f t="shared" si="103"/>
        <v>7.2890701606538919E-2</v>
      </c>
      <c r="T79" s="216">
        <f t="shared" si="104"/>
        <v>6.515162795934458E-2</v>
      </c>
      <c r="U79" s="67">
        <f t="shared" si="94"/>
        <v>5.4303450885867591E-2</v>
      </c>
      <c r="W79" s="3"/>
      <c r="X79" s="3"/>
      <c r="Y79" s="3"/>
    </row>
    <row r="80" spans="1:30">
      <c r="A80" s="84" t="s">
        <v>138</v>
      </c>
      <c r="B80" s="137">
        <f>12781839+330483</f>
        <v>13112322</v>
      </c>
      <c r="C80" s="137">
        <f>12940285+330483</f>
        <v>13270768</v>
      </c>
      <c r="D80" s="137">
        <f>12850783+330483</f>
        <v>13181266</v>
      </c>
      <c r="E80" s="137">
        <f>12979641+330483</f>
        <v>13310124</v>
      </c>
      <c r="F80" s="137">
        <f>13161290+330483</f>
        <v>13491773</v>
      </c>
      <c r="G80" s="139">
        <f>13232784+330483</f>
        <v>13563267</v>
      </c>
      <c r="H80" s="139">
        <f>13631162+592579</f>
        <v>14223741</v>
      </c>
      <c r="I80" s="139">
        <f>13727747+330483</f>
        <v>14058230</v>
      </c>
      <c r="J80" s="216">
        <f t="shared" si="87"/>
        <v>1.2965616119626801E-2</v>
      </c>
      <c r="K80" s="3"/>
      <c r="L80" s="88" t="str">
        <f t="shared" si="88"/>
        <v>Depreciation and Amortization (6, 9)</v>
      </c>
      <c r="M80" s="67">
        <f t="shared" si="89"/>
        <v>6.9575279877625226E-2</v>
      </c>
      <c r="N80" s="67">
        <f t="shared" si="89"/>
        <v>6.5558881849146308E-2</v>
      </c>
      <c r="O80" s="67">
        <f t="shared" ref="O80:O84" si="105">D80/D$71</f>
        <v>6.1284195964482958E-2</v>
      </c>
      <c r="P80" s="67">
        <f t="shared" si="90"/>
        <v>6.0127675570239625E-2</v>
      </c>
      <c r="Q80" s="216">
        <f t="shared" si="91"/>
        <v>5.491254009268963E-2</v>
      </c>
      <c r="R80" s="216">
        <f t="shared" si="92"/>
        <v>5.0165260636889725E-2</v>
      </c>
      <c r="S80" s="216">
        <f t="shared" si="92"/>
        <v>6.2437479077752142E-2</v>
      </c>
      <c r="T80" s="216">
        <f t="shared" si="93"/>
        <v>6.027525205226951E-2</v>
      </c>
      <c r="U80" s="67">
        <f t="shared" si="94"/>
        <v>5.7888268403457691E-2</v>
      </c>
      <c r="W80" s="3"/>
      <c r="X80" s="3">
        <f>(T80+S80+P80+O80)/4</f>
        <v>6.1031150666186057E-2</v>
      </c>
    </row>
    <row r="81" spans="1:33">
      <c r="A81" s="84" t="s">
        <v>191</v>
      </c>
      <c r="B81" s="137">
        <v>5162210</v>
      </c>
      <c r="C81" s="137">
        <v>5055621</v>
      </c>
      <c r="D81" s="243">
        <f>5127712+100</f>
        <v>5127812</v>
      </c>
      <c r="E81" s="243">
        <f>3926087+133407</f>
        <v>4059494</v>
      </c>
      <c r="F81" s="243">
        <f>3640016+27952</f>
        <v>3667968</v>
      </c>
      <c r="G81" s="243">
        <f>3352450+154840</f>
        <v>3507290</v>
      </c>
      <c r="H81" s="243">
        <f>3665294+100</f>
        <v>3665394</v>
      </c>
      <c r="I81" s="243">
        <f>3897839+88546</f>
        <v>3986385</v>
      </c>
      <c r="J81" s="216">
        <f t="shared" si="87"/>
        <v>-4.9111863375636985E-2</v>
      </c>
      <c r="K81" s="3"/>
      <c r="L81" s="88" t="str">
        <f t="shared" si="88"/>
        <v>Taxes, other than income taxes (14, 16, 17)</v>
      </c>
      <c r="M81" s="67">
        <f t="shared" si="89"/>
        <v>2.7391197801356289E-2</v>
      </c>
      <c r="N81" s="67">
        <f t="shared" si="89"/>
        <v>2.497525838844164E-2</v>
      </c>
      <c r="O81" s="67">
        <f t="shared" si="105"/>
        <v>2.3840944828594408E-2</v>
      </c>
      <c r="P81" s="67">
        <f t="shared" si="90"/>
        <v>1.8338517222779765E-2</v>
      </c>
      <c r="Q81" s="216">
        <f t="shared" si="91"/>
        <v>1.4928908147113252E-2</v>
      </c>
      <c r="R81" s="216">
        <f t="shared" si="92"/>
        <v>1.2972104506912455E-2</v>
      </c>
      <c r="S81" s="216">
        <f t="shared" si="92"/>
        <v>1.6089857175177628E-2</v>
      </c>
      <c r="T81" s="216">
        <f t="shared" si="93"/>
        <v>1.7091793252236333E-2</v>
      </c>
      <c r="U81" s="67">
        <f t="shared" si="94"/>
        <v>1.6988584844969602E-2</v>
      </c>
      <c r="V81" s="166"/>
      <c r="W81" s="3"/>
      <c r="X81" s="3"/>
    </row>
    <row r="82" spans="1:33">
      <c r="A82" s="84" t="s">
        <v>192</v>
      </c>
      <c r="B82" s="137"/>
      <c r="C82" s="137"/>
      <c r="D82" s="148">
        <v>-6233984</v>
      </c>
      <c r="E82" s="148">
        <v>2318619</v>
      </c>
      <c r="F82" s="148">
        <v>-2073361</v>
      </c>
      <c r="G82" s="148">
        <v>6265349</v>
      </c>
      <c r="H82" s="148">
        <v>1218103</v>
      </c>
      <c r="I82" s="148">
        <v>-1072887</v>
      </c>
      <c r="J82" s="220">
        <f t="shared" si="87"/>
        <v>-0.29667240063534589</v>
      </c>
      <c r="K82" s="3"/>
      <c r="L82" s="88" t="str">
        <f t="shared" si="88"/>
        <v>Provision for Deferred Income Taxes 17</v>
      </c>
      <c r="O82" s="67"/>
      <c r="P82" s="67"/>
      <c r="Q82" s="216"/>
      <c r="R82" s="216"/>
      <c r="S82" s="216"/>
      <c r="T82" s="216"/>
      <c r="U82" s="68"/>
      <c r="V82" s="166"/>
      <c r="W82" s="3"/>
      <c r="X82" s="3"/>
    </row>
    <row r="83" spans="1:33">
      <c r="A83" s="37" t="s">
        <v>50</v>
      </c>
      <c r="B83" s="145">
        <f t="shared" ref="B83:C83" si="106">SUM(B73:B81)</f>
        <v>178057269</v>
      </c>
      <c r="C83" s="145">
        <f t="shared" si="106"/>
        <v>184086557</v>
      </c>
      <c r="D83" s="149">
        <f t="shared" ref="D83:H83" si="107">SUM(D73:D82)</f>
        <v>186090843</v>
      </c>
      <c r="E83" s="149">
        <f t="shared" si="107"/>
        <v>199359532</v>
      </c>
      <c r="F83" s="149">
        <f t="shared" si="107"/>
        <v>244970418</v>
      </c>
      <c r="G83" s="149">
        <f t="shared" si="107"/>
        <v>245619992</v>
      </c>
      <c r="H83" s="149">
        <f t="shared" si="107"/>
        <v>215578074</v>
      </c>
      <c r="I83" s="149">
        <f>SUM(I73:I82)</f>
        <v>213228918</v>
      </c>
      <c r="J83" s="221">
        <f t="shared" si="87"/>
        <v>2.7600294307859232E-2</v>
      </c>
      <c r="K83" s="3"/>
      <c r="L83" s="88" t="str">
        <f t="shared" si="88"/>
        <v>Total Operating Expenses</v>
      </c>
      <c r="M83" s="95">
        <f t="shared" si="89"/>
        <v>0.94478951362852448</v>
      </c>
      <c r="N83" s="95">
        <f t="shared" si="89"/>
        <v>0.9094054571957807</v>
      </c>
      <c r="O83" s="95">
        <f t="shared" si="105"/>
        <v>0.865199722819328</v>
      </c>
      <c r="P83" s="95">
        <f t="shared" si="90"/>
        <v>0.90059455959469681</v>
      </c>
      <c r="Q83" s="233">
        <f t="shared" si="91"/>
        <v>0.99704819373613363</v>
      </c>
      <c r="R83" s="233">
        <f t="shared" si="92"/>
        <v>0.90845302361966107</v>
      </c>
      <c r="S83" s="233">
        <f t="shared" si="92"/>
        <v>0.94631584510693101</v>
      </c>
      <c r="T83" s="233">
        <f t="shared" si="93"/>
        <v>0.91422794884439273</v>
      </c>
      <c r="U83" s="106">
        <f t="shared" ref="U83:U84" si="108">SUM(D83:I83)/SUM(D$71:I$71)</f>
        <v>0.92309488414213436</v>
      </c>
      <c r="W83" s="3"/>
      <c r="X83" s="3"/>
    </row>
    <row r="84" spans="1:33">
      <c r="A84" s="37" t="s">
        <v>14</v>
      </c>
      <c r="B84" s="137">
        <f t="shared" ref="B84:C84" si="109">B71-B83</f>
        <v>10405099</v>
      </c>
      <c r="C84" s="137">
        <f t="shared" si="109"/>
        <v>18338616</v>
      </c>
      <c r="D84" s="137">
        <f t="shared" ref="D84:I84" si="110">D71-D83</f>
        <v>28993418</v>
      </c>
      <c r="E84" s="137">
        <f t="shared" si="110"/>
        <v>22004821</v>
      </c>
      <c r="F84" s="137">
        <f t="shared" si="110"/>
        <v>725246</v>
      </c>
      <c r="G84" s="139">
        <f t="shared" si="110"/>
        <v>24751712</v>
      </c>
      <c r="H84" s="139">
        <f t="shared" si="110"/>
        <v>12229666</v>
      </c>
      <c r="I84" s="139">
        <f t="shared" si="110"/>
        <v>20004947</v>
      </c>
      <c r="J84" s="216">
        <f t="shared" si="87"/>
        <v>-7.1530594461139241E-2</v>
      </c>
      <c r="K84" s="3"/>
      <c r="L84" s="37" t="s">
        <v>14</v>
      </c>
      <c r="M84" s="95">
        <f t="shared" si="89"/>
        <v>5.5210486371475499E-2</v>
      </c>
      <c r="N84" s="95">
        <f t="shared" si="89"/>
        <v>9.0594542804219316E-2</v>
      </c>
      <c r="O84" s="95">
        <f t="shared" si="105"/>
        <v>0.134800277180672</v>
      </c>
      <c r="P84" s="95">
        <f t="shared" si="90"/>
        <v>9.9405440405303191E-2</v>
      </c>
      <c r="Q84" s="233">
        <f t="shared" si="91"/>
        <v>2.9518062638663415E-3</v>
      </c>
      <c r="R84" s="233">
        <f t="shared" si="92"/>
        <v>9.1546976380338971E-2</v>
      </c>
      <c r="S84" s="233">
        <f t="shared" si="92"/>
        <v>5.368415489306904E-2</v>
      </c>
      <c r="T84" s="233">
        <f t="shared" si="93"/>
        <v>8.5772051155607265E-2</v>
      </c>
      <c r="U84" s="67">
        <f t="shared" si="108"/>
        <v>7.690511585786565E-2</v>
      </c>
      <c r="W84" s="3"/>
      <c r="X84" s="3"/>
    </row>
    <row r="85" spans="1:33">
      <c r="B85" s="137"/>
      <c r="C85" s="137"/>
      <c r="D85" s="139"/>
      <c r="E85" s="139"/>
      <c r="F85" s="139"/>
      <c r="G85" s="139"/>
      <c r="H85" s="139"/>
      <c r="I85" s="139"/>
      <c r="J85" s="216"/>
      <c r="K85" s="3"/>
      <c r="L85" s="37"/>
      <c r="O85" s="67"/>
      <c r="P85" s="67"/>
      <c r="Q85" s="216"/>
      <c r="R85" s="216"/>
      <c r="S85" s="216"/>
      <c r="T85" s="216"/>
      <c r="W85" s="3"/>
      <c r="X85" s="3"/>
    </row>
    <row r="86" spans="1:33">
      <c r="A86" s="84" t="s">
        <v>190</v>
      </c>
      <c r="B86" s="137">
        <v>28984626</v>
      </c>
      <c r="C86" s="137">
        <v>31928177</v>
      </c>
      <c r="D86" s="137">
        <v>31993867</v>
      </c>
      <c r="E86" s="137">
        <v>32839149</v>
      </c>
      <c r="F86" s="137">
        <v>25785203</v>
      </c>
      <c r="G86" s="139">
        <v>25355130</v>
      </c>
      <c r="H86" s="139">
        <v>31029989</v>
      </c>
      <c r="I86" s="139">
        <v>32327019</v>
      </c>
      <c r="J86" s="216">
        <f t="shared" ref="J86:J91" si="111">RATE(5,,-D86,I86)</f>
        <v>2.0739785089534521E-3</v>
      </c>
      <c r="K86" s="3"/>
      <c r="L86" s="88" t="str">
        <f t="shared" ref="L86:L91" si="112">A86</f>
        <v xml:space="preserve">   Interest expense 70</v>
      </c>
      <c r="M86" s="94">
        <f t="shared" ref="M86:M91" si="113">B86/B$71</f>
        <v>0.15379529774347311</v>
      </c>
      <c r="N86" s="94">
        <f t="shared" ref="N86:N91" si="114">C86/C$71</f>
        <v>0.15772829301225297</v>
      </c>
      <c r="O86" s="169">
        <f t="shared" ref="O86:S91" si="115">D86/D$71</f>
        <v>0.14875038671472107</v>
      </c>
      <c r="P86" s="169">
        <f t="shared" si="115"/>
        <v>0.14834885813796767</v>
      </c>
      <c r="Q86" s="169">
        <f t="shared" si="115"/>
        <v>0.10494773322495426</v>
      </c>
      <c r="R86" s="169">
        <f t="shared" si="115"/>
        <v>9.3778785371711831E-2</v>
      </c>
      <c r="S86" s="169">
        <f t="shared" si="115"/>
        <v>0.13621130256592687</v>
      </c>
      <c r="T86" s="169">
        <f t="shared" ref="T86:T91" si="116">I86/I$71</f>
        <v>0.13860345280476316</v>
      </c>
      <c r="U86" s="67">
        <f t="shared" ref="U86:U91" si="117">SUM(D86:I86)/SUM(D$71:I$71)</f>
        <v>0.12686455695136811</v>
      </c>
      <c r="W86" s="3"/>
      <c r="X86" s="3">
        <f>(T86+S86+P86+O86)/4</f>
        <v>0.14297850005584467</v>
      </c>
      <c r="Y86" s="1">
        <f>E86/(E45+E39)</f>
        <v>0.10315922118625147</v>
      </c>
      <c r="Z86" s="1">
        <f>F86/(F45+F39)</f>
        <v>8.4042705548228569E-2</v>
      </c>
      <c r="AA86" s="1">
        <f>G86/(G45+G39)</f>
        <v>8.8764515812126243E-2</v>
      </c>
    </row>
    <row r="87" spans="1:33">
      <c r="A87" s="85" t="s">
        <v>188</v>
      </c>
      <c r="B87" s="140">
        <v>-13466463</v>
      </c>
      <c r="C87" s="140">
        <v>-9639897</v>
      </c>
      <c r="D87" s="137">
        <v>-15490876</v>
      </c>
      <c r="E87" s="137">
        <v>-16706159</v>
      </c>
      <c r="F87" s="137">
        <v>-15858020</v>
      </c>
      <c r="G87" s="139">
        <f>-11551176+130984-740412</f>
        <v>-12160604</v>
      </c>
      <c r="H87" s="139">
        <v>-11928887</v>
      </c>
      <c r="I87" s="137">
        <v>-10268593</v>
      </c>
      <c r="J87" s="216">
        <f t="shared" si="111"/>
        <v>-7.8941971161749891E-2</v>
      </c>
      <c r="K87" s="3"/>
      <c r="L87" s="88" t="str">
        <f t="shared" si="112"/>
        <v xml:space="preserve">   Interest and Other (Income) 37</v>
      </c>
      <c r="M87" s="94">
        <f t="shared" si="113"/>
        <v>-7.1454387116689527E-2</v>
      </c>
      <c r="N87" s="94">
        <f t="shared" si="114"/>
        <v>-4.7622026732811538E-2</v>
      </c>
      <c r="O87" s="94">
        <f t="shared" si="115"/>
        <v>-7.2022359646296941E-2</v>
      </c>
      <c r="P87" s="94">
        <f t="shared" si="115"/>
        <v>-7.54690571159847E-2</v>
      </c>
      <c r="Q87" s="169">
        <f t="shared" si="115"/>
        <v>-6.4543344973316263E-2</v>
      </c>
      <c r="R87" s="169">
        <f t="shared" si="115"/>
        <v>-4.4977354582933726E-2</v>
      </c>
      <c r="S87" s="169">
        <f t="shared" si="115"/>
        <v>-5.2363835399095747E-2</v>
      </c>
      <c r="T87" s="169">
        <f t="shared" si="116"/>
        <v>-4.4027024120189405E-2</v>
      </c>
      <c r="U87" s="67">
        <f t="shared" si="117"/>
        <v>-5.8301932484339597E-2</v>
      </c>
      <c r="W87" s="3"/>
      <c r="X87" s="3"/>
    </row>
    <row r="88" spans="1:33">
      <c r="A88" s="84" t="s">
        <v>193</v>
      </c>
      <c r="B88" s="137">
        <v>1984</v>
      </c>
      <c r="C88" s="137">
        <f>-5400+26968</f>
        <v>21568</v>
      </c>
      <c r="D88" s="139">
        <v>-4620</v>
      </c>
      <c r="E88" s="139">
        <v>-15314</v>
      </c>
      <c r="F88" s="139">
        <v>-3816</v>
      </c>
      <c r="G88" s="139">
        <v>-130984</v>
      </c>
      <c r="H88" s="139">
        <f>346297-14354</f>
        <v>331943</v>
      </c>
      <c r="I88" s="137">
        <f>151285-6685</f>
        <v>144600</v>
      </c>
      <c r="J88" s="216"/>
      <c r="K88" s="3"/>
      <c r="L88" s="88" t="str">
        <f t="shared" si="112"/>
        <v xml:space="preserve">   Loss (Gain) on Sale of Assets 40</v>
      </c>
      <c r="M88" s="94">
        <f t="shared" si="113"/>
        <v>1.0527300601465434E-5</v>
      </c>
      <c r="N88" s="94">
        <f t="shared" si="114"/>
        <v>1.065480131762071E-4</v>
      </c>
      <c r="O88" s="94">
        <f t="shared" si="115"/>
        <v>-2.1479953849342792E-5</v>
      </c>
      <c r="P88" s="94">
        <f t="shared" si="115"/>
        <v>-6.918006351275537E-5</v>
      </c>
      <c r="Q88" s="169">
        <f t="shared" si="115"/>
        <v>-1.5531409622271558E-5</v>
      </c>
      <c r="R88" s="169">
        <f t="shared" si="115"/>
        <v>-4.8445898021932059E-4</v>
      </c>
      <c r="S88" s="169">
        <f t="shared" si="115"/>
        <v>1.4571190601337777E-3</v>
      </c>
      <c r="T88" s="169">
        <f t="shared" si="116"/>
        <v>6.1997857815373428E-4</v>
      </c>
      <c r="U88" s="67">
        <f t="shared" si="117"/>
        <v>2.276589245175195E-4</v>
      </c>
      <c r="W88" s="3"/>
      <c r="X88" s="3"/>
      <c r="Y88" s="2">
        <f>AVERAGE(E88,F88)</f>
        <v>-9565</v>
      </c>
    </row>
    <row r="89" spans="1:33">
      <c r="A89" s="84" t="s">
        <v>189</v>
      </c>
      <c r="B89" s="137"/>
      <c r="C89" s="137"/>
      <c r="D89" s="139">
        <v>6610517</v>
      </c>
      <c r="E89" s="139">
        <v>-737687</v>
      </c>
      <c r="F89" s="137">
        <v>323485</v>
      </c>
      <c r="G89" s="139">
        <v>740412</v>
      </c>
      <c r="H89" s="139">
        <v>1722011</v>
      </c>
      <c r="I89" s="137">
        <v>-7036824</v>
      </c>
      <c r="J89" s="216"/>
      <c r="K89" s="3"/>
      <c r="L89" s="88" t="str">
        <f t="shared" si="112"/>
        <v xml:space="preserve">   Equity in Earnings of Subsidiary Co 36</v>
      </c>
      <c r="M89" s="94"/>
      <c r="N89" s="94"/>
      <c r="O89" s="94">
        <f t="shared" si="115"/>
        <v>3.0734545471925535E-2</v>
      </c>
      <c r="P89" s="94">
        <f t="shared" si="115"/>
        <v>-3.3324561520526297E-3</v>
      </c>
      <c r="Q89" s="169">
        <f t="shared" si="115"/>
        <v>1.3166085014833637E-3</v>
      </c>
      <c r="R89" s="169">
        <f t="shared" si="115"/>
        <v>2.7384966290703262E-3</v>
      </c>
      <c r="S89" s="169">
        <f t="shared" si="115"/>
        <v>7.5590539636625166E-3</v>
      </c>
      <c r="T89" s="169"/>
      <c r="U89" s="67">
        <f t="shared" si="117"/>
        <v>1.1473986025869634E-3</v>
      </c>
      <c r="W89" s="3"/>
      <c r="X89" s="3"/>
      <c r="Y89" s="2"/>
    </row>
    <row r="90" spans="1:33">
      <c r="A90" s="86" t="s">
        <v>109</v>
      </c>
      <c r="B90" s="152"/>
      <c r="C90" s="152"/>
      <c r="D90" s="148">
        <f>10892951-50562</f>
        <v>10842389</v>
      </c>
      <c r="E90" s="148">
        <f>-4010059-195014</f>
        <v>-4205073</v>
      </c>
      <c r="F90" s="148">
        <v>221985</v>
      </c>
      <c r="G90" s="148">
        <v>3131499</v>
      </c>
      <c r="H90" s="148">
        <v>-229119</v>
      </c>
      <c r="I90" s="141">
        <v>-226746</v>
      </c>
      <c r="J90" s="220"/>
      <c r="K90" s="3"/>
      <c r="L90" s="88" t="str">
        <f t="shared" si="112"/>
        <v xml:space="preserve">   Other (Income) Expense</v>
      </c>
      <c r="M90" s="93">
        <f t="shared" si="113"/>
        <v>0</v>
      </c>
      <c r="N90" s="93">
        <f t="shared" si="114"/>
        <v>0</v>
      </c>
      <c r="O90" s="93">
        <f t="shared" si="115"/>
        <v>5.0409960029571856E-2</v>
      </c>
      <c r="P90" s="93">
        <f t="shared" si="115"/>
        <v>-1.8996161500311661E-2</v>
      </c>
      <c r="Q90" s="232">
        <f t="shared" si="115"/>
        <v>9.034957979559623E-4</v>
      </c>
      <c r="R90" s="232">
        <f t="shared" si="115"/>
        <v>1.1582199444953752E-2</v>
      </c>
      <c r="S90" s="232">
        <f t="shared" si="115"/>
        <v>-1.0057559940676291E-3</v>
      </c>
      <c r="T90" s="232">
        <f t="shared" si="116"/>
        <v>-9.7218300609990752E-4</v>
      </c>
      <c r="U90" s="68">
        <f t="shared" si="117"/>
        <v>6.74534598921862E-3</v>
      </c>
      <c r="W90" s="3"/>
      <c r="X90" s="3"/>
      <c r="Y90" s="2">
        <f>AVERAGE(E90,H90)</f>
        <v>-2217096</v>
      </c>
    </row>
    <row r="91" spans="1:33">
      <c r="A91" s="37" t="s">
        <v>59</v>
      </c>
      <c r="B91" s="137">
        <f t="shared" ref="B91:I91" si="118">SUM(B86:B90)</f>
        <v>15520147</v>
      </c>
      <c r="C91" s="137">
        <f t="shared" si="118"/>
        <v>22309848</v>
      </c>
      <c r="D91" s="137">
        <f t="shared" si="118"/>
        <v>33951277</v>
      </c>
      <c r="E91" s="137">
        <f t="shared" si="118"/>
        <v>11174916</v>
      </c>
      <c r="F91" s="137">
        <f t="shared" si="118"/>
        <v>10468837</v>
      </c>
      <c r="G91" s="137">
        <f t="shared" si="118"/>
        <v>16935453</v>
      </c>
      <c r="H91" s="137">
        <f t="shared" si="118"/>
        <v>20925937</v>
      </c>
      <c r="I91" s="137">
        <f t="shared" si="118"/>
        <v>14939456</v>
      </c>
      <c r="J91" s="216">
        <f t="shared" si="111"/>
        <v>-0.15141425120769991</v>
      </c>
      <c r="K91" s="3"/>
      <c r="L91" s="88" t="str">
        <f t="shared" si="112"/>
        <v>Total Other Income/Expense</v>
      </c>
      <c r="M91" s="94">
        <f t="shared" si="113"/>
        <v>8.2351437927385057E-2</v>
      </c>
      <c r="N91" s="94">
        <f t="shared" si="114"/>
        <v>0.11021281429261764</v>
      </c>
      <c r="O91" s="94">
        <f t="shared" si="115"/>
        <v>0.15785105261607218</v>
      </c>
      <c r="P91" s="94">
        <f t="shared" si="115"/>
        <v>5.048200330610593E-2</v>
      </c>
      <c r="Q91" s="169">
        <f t="shared" si="115"/>
        <v>4.2608961141455064E-2</v>
      </c>
      <c r="R91" s="169">
        <f t="shared" si="115"/>
        <v>6.2637667882582862E-2</v>
      </c>
      <c r="S91" s="169">
        <f t="shared" si="115"/>
        <v>9.1857884196559783E-2</v>
      </c>
      <c r="T91" s="169">
        <f t="shared" si="116"/>
        <v>6.4053545568950723E-2</v>
      </c>
      <c r="U91" s="67">
        <f t="shared" si="117"/>
        <v>7.6683027983351623E-2</v>
      </c>
      <c r="W91" s="3"/>
      <c r="X91" s="3"/>
    </row>
    <row r="92" spans="1:33" ht="7.5" customHeight="1">
      <c r="B92" s="137"/>
      <c r="C92" s="137"/>
      <c r="D92" s="137"/>
      <c r="E92" s="137"/>
      <c r="F92" s="137"/>
      <c r="G92" s="137"/>
      <c r="H92" s="137"/>
      <c r="I92" s="137"/>
      <c r="J92" s="216"/>
      <c r="K92" s="3"/>
      <c r="L92" s="88"/>
      <c r="M92" s="94"/>
      <c r="N92" s="94"/>
      <c r="O92" s="94"/>
      <c r="P92" s="94"/>
      <c r="Q92" s="94"/>
      <c r="R92" s="94"/>
      <c r="S92" s="94"/>
      <c r="T92" s="94"/>
      <c r="W92" s="3"/>
      <c r="X92" s="3"/>
    </row>
    <row r="93" spans="1:33">
      <c r="A93" s="37" t="s">
        <v>13</v>
      </c>
      <c r="B93" s="139">
        <f t="shared" ref="B93:I93" si="119">B84-B91</f>
        <v>-5115048</v>
      </c>
      <c r="C93" s="139">
        <f t="shared" si="119"/>
        <v>-3971232</v>
      </c>
      <c r="D93" s="139">
        <f t="shared" si="119"/>
        <v>-4957859</v>
      </c>
      <c r="E93" s="139">
        <f t="shared" si="119"/>
        <v>10829905</v>
      </c>
      <c r="F93" s="139">
        <f t="shared" si="119"/>
        <v>-9743591</v>
      </c>
      <c r="G93" s="139">
        <f t="shared" si="119"/>
        <v>7816259</v>
      </c>
      <c r="H93" s="139">
        <f t="shared" si="119"/>
        <v>-8696271</v>
      </c>
      <c r="I93" s="139">
        <f t="shared" si="119"/>
        <v>5065491</v>
      </c>
      <c r="J93" s="216"/>
      <c r="K93" s="3"/>
      <c r="L93" s="88" t="str">
        <f>A93</f>
        <v>Earnings Before Taxes</v>
      </c>
      <c r="M93" s="67">
        <f t="shared" ref="M93:M96" si="120">B93/B$71</f>
        <v>-2.7140951555909558E-2</v>
      </c>
      <c r="N93" s="67">
        <f t="shared" ref="N93:N96" si="121">C93/C$71</f>
        <v>-1.9618271488398332E-2</v>
      </c>
      <c r="O93" s="67">
        <f t="shared" ref="O93:S96" si="122">D93/D$71</f>
        <v>-2.3050775435400177E-2</v>
      </c>
      <c r="P93" s="67">
        <f t="shared" si="122"/>
        <v>4.8923437099197269E-2</v>
      </c>
      <c r="Q93" s="67">
        <f t="shared" si="122"/>
        <v>-3.9657154877588724E-2</v>
      </c>
      <c r="R93" s="67">
        <f t="shared" si="122"/>
        <v>2.8909308497756112E-2</v>
      </c>
      <c r="S93" s="67">
        <f t="shared" si="122"/>
        <v>-3.8173729303490743E-2</v>
      </c>
      <c r="T93" s="67">
        <f t="shared" ref="T93:T96" si="123">I93/I$71</f>
        <v>2.1718505586656552E-2</v>
      </c>
      <c r="U93" s="67">
        <f t="shared" ref="U93:U96" si="124">SUM(D93:I93)/SUM(D$71:I$71)</f>
        <v>2.220878745140222E-4</v>
      </c>
      <c r="W93" s="3"/>
      <c r="X93" s="3"/>
    </row>
    <row r="94" spans="1:33">
      <c r="A94" s="37" t="s">
        <v>60</v>
      </c>
      <c r="B94" s="139"/>
      <c r="C94" s="139"/>
      <c r="D94" s="139"/>
      <c r="E94" s="139"/>
      <c r="F94" s="139"/>
      <c r="G94" s="139"/>
      <c r="H94" s="139"/>
      <c r="I94" s="139"/>
      <c r="J94" s="216"/>
      <c r="K94" s="3"/>
      <c r="L94" s="88" t="str">
        <f>A94</f>
        <v>Extraordinary Items</v>
      </c>
      <c r="M94" s="67">
        <f t="shared" si="120"/>
        <v>0</v>
      </c>
      <c r="N94" s="67">
        <f t="shared" si="121"/>
        <v>0</v>
      </c>
      <c r="O94" s="67">
        <f t="shared" si="122"/>
        <v>0</v>
      </c>
      <c r="P94" s="67">
        <f t="shared" si="122"/>
        <v>0</v>
      </c>
      <c r="Q94" s="67">
        <f t="shared" si="122"/>
        <v>0</v>
      </c>
      <c r="R94" s="67">
        <f t="shared" si="122"/>
        <v>0</v>
      </c>
      <c r="S94" s="67">
        <f t="shared" si="122"/>
        <v>0</v>
      </c>
      <c r="T94" s="67">
        <f t="shared" si="123"/>
        <v>0</v>
      </c>
      <c r="U94" s="67">
        <f t="shared" si="124"/>
        <v>0</v>
      </c>
      <c r="W94" s="3"/>
      <c r="X94" s="3"/>
    </row>
    <row r="95" spans="1:33">
      <c r="A95" s="37" t="s">
        <v>19</v>
      </c>
      <c r="B95" s="139">
        <f>617561</f>
        <v>617561</v>
      </c>
      <c r="C95" s="139">
        <f>-2310477+100</f>
        <v>-2310377</v>
      </c>
      <c r="D95" s="139"/>
      <c r="E95" s="139"/>
      <c r="F95" s="139"/>
      <c r="G95" s="139"/>
      <c r="H95" s="139"/>
      <c r="I95" s="139"/>
      <c r="J95" s="220"/>
      <c r="K95" s="3"/>
      <c r="L95" s="88" t="str">
        <f>A95</f>
        <v>Income Taxes</v>
      </c>
      <c r="M95" s="93">
        <f t="shared" si="120"/>
        <v>3.2768398622689491E-3</v>
      </c>
      <c r="N95" s="93">
        <f t="shared" si="121"/>
        <v>-1.1413486602281427E-2</v>
      </c>
      <c r="O95" s="93">
        <f t="shared" si="122"/>
        <v>0</v>
      </c>
      <c r="P95" s="93">
        <f t="shared" si="122"/>
        <v>0</v>
      </c>
      <c r="Q95" s="93">
        <f t="shared" si="122"/>
        <v>0</v>
      </c>
      <c r="R95" s="93">
        <f t="shared" si="122"/>
        <v>0</v>
      </c>
      <c r="S95" s="93">
        <f t="shared" si="122"/>
        <v>0</v>
      </c>
      <c r="T95" s="93">
        <f t="shared" si="123"/>
        <v>0</v>
      </c>
      <c r="U95" s="68">
        <f t="shared" si="124"/>
        <v>0</v>
      </c>
      <c r="W95" s="3"/>
      <c r="X95" s="3"/>
      <c r="Y95" s="1">
        <f>F95/F93</f>
        <v>0</v>
      </c>
      <c r="AC95" s="37" t="s">
        <v>18</v>
      </c>
    </row>
    <row r="96" spans="1:33" ht="13.5" thickBot="1">
      <c r="A96" s="37" t="s">
        <v>22</v>
      </c>
      <c r="B96" s="154">
        <f t="shared" ref="B96:I96" si="125">B93+B94-B95</f>
        <v>-5732609</v>
      </c>
      <c r="C96" s="154">
        <f t="shared" si="125"/>
        <v>-1660855</v>
      </c>
      <c r="D96" s="154">
        <f>D93+D94-D95</f>
        <v>-4957859</v>
      </c>
      <c r="E96" s="154">
        <f t="shared" si="125"/>
        <v>10829905</v>
      </c>
      <c r="F96" s="154">
        <f t="shared" si="125"/>
        <v>-9743591</v>
      </c>
      <c r="G96" s="154">
        <f t="shared" si="125"/>
        <v>7816259</v>
      </c>
      <c r="H96" s="154">
        <f t="shared" si="125"/>
        <v>-8696271</v>
      </c>
      <c r="I96" s="154">
        <f t="shared" si="125"/>
        <v>5065491</v>
      </c>
      <c r="J96" s="246"/>
      <c r="K96" s="3"/>
      <c r="L96" s="88" t="str">
        <f>A96</f>
        <v>Net Income</v>
      </c>
      <c r="M96" s="97">
        <f t="shared" si="120"/>
        <v>-3.0417791418178509E-2</v>
      </c>
      <c r="N96" s="97">
        <f t="shared" si="121"/>
        <v>-8.2047848861169052E-3</v>
      </c>
      <c r="O96" s="97">
        <f t="shared" si="122"/>
        <v>-2.3050775435400177E-2</v>
      </c>
      <c r="P96" s="97">
        <f t="shared" si="122"/>
        <v>4.8923437099197269E-2</v>
      </c>
      <c r="Q96" s="97">
        <f t="shared" si="122"/>
        <v>-3.9657154877588724E-2</v>
      </c>
      <c r="R96" s="97">
        <f t="shared" si="122"/>
        <v>2.8909308497756112E-2</v>
      </c>
      <c r="S96" s="97">
        <f t="shared" si="122"/>
        <v>-3.8173729303490743E-2</v>
      </c>
      <c r="T96" s="97">
        <f t="shared" si="123"/>
        <v>2.1718505586656552E-2</v>
      </c>
      <c r="U96" s="96">
        <f t="shared" si="124"/>
        <v>2.220878745140222E-4</v>
      </c>
      <c r="W96" s="3"/>
      <c r="X96" s="3"/>
      <c r="Y96" s="1">
        <f>AC53/E96</f>
        <v>1</v>
      </c>
      <c r="Z96" s="1">
        <f>AD53/F96</f>
        <v>1.0769736742849736</v>
      </c>
      <c r="AA96" s="1">
        <f>1-AVERAGE(Y96:Z96)</f>
        <v>-3.8486837142486685E-2</v>
      </c>
      <c r="AC96" s="36">
        <f>D95/D93</f>
        <v>0</v>
      </c>
      <c r="AD96" s="36">
        <f>E95/E93</f>
        <v>0</v>
      </c>
      <c r="AE96" s="36">
        <f>F95/F93</f>
        <v>0</v>
      </c>
      <c r="AF96" s="36">
        <f>G95/G93</f>
        <v>0</v>
      </c>
      <c r="AG96" s="1">
        <f>AVERAGE(AC96:AF96)</f>
        <v>0</v>
      </c>
    </row>
    <row r="97" spans="1:29" ht="13.5" thickTop="1">
      <c r="B97" s="137"/>
      <c r="C97" s="137"/>
      <c r="D97" s="139">
        <f>-4957859-D96</f>
        <v>0</v>
      </c>
      <c r="E97" s="139">
        <f>10829905-E96</f>
        <v>0</v>
      </c>
      <c r="F97" s="139">
        <f>-9743591-F96</f>
        <v>0</v>
      </c>
      <c r="G97" s="139">
        <f>7816259-G96</f>
        <v>0</v>
      </c>
      <c r="H97" s="139">
        <f>-8696271-H96</f>
        <v>0</v>
      </c>
      <c r="I97" s="139">
        <f>5065491-I96</f>
        <v>0</v>
      </c>
      <c r="J97" s="216"/>
      <c r="K97" s="3"/>
      <c r="L97" s="88"/>
      <c r="M97" s="37"/>
      <c r="N97" s="37"/>
      <c r="O97" s="37"/>
      <c r="P97" s="37"/>
      <c r="Q97" s="37"/>
      <c r="R97" s="37"/>
      <c r="S97" s="37"/>
      <c r="T97" s="37"/>
      <c r="W97" s="3"/>
      <c r="X97" s="3"/>
      <c r="Y97" s="1">
        <f>AC53/E55</f>
        <v>0.11169194295727959</v>
      </c>
      <c r="Z97" s="1">
        <f>AD53/F55</f>
        <v>-0.12135712483658101</v>
      </c>
      <c r="AA97" s="1">
        <f>AVERAGE(Y97:Z97)</f>
        <v>-4.8325909396507091E-3</v>
      </c>
    </row>
    <row r="98" spans="1:29">
      <c r="A98" s="37" t="s">
        <v>63</v>
      </c>
      <c r="B98" s="137"/>
      <c r="C98" s="137"/>
      <c r="D98" s="231"/>
      <c r="E98" s="231"/>
      <c r="F98" s="231"/>
      <c r="G98" s="231"/>
      <c r="H98" s="231"/>
      <c r="I98" s="139"/>
      <c r="J98" s="216"/>
      <c r="K98" s="3"/>
      <c r="L98" s="88" t="str">
        <f>A98</f>
        <v>Preferred Stock Dividends</v>
      </c>
      <c r="M98" s="67">
        <f t="shared" ref="M98:M99" si="126">B98/B$96</f>
        <v>0</v>
      </c>
      <c r="N98" s="67">
        <f t="shared" ref="N98:N99" si="127">C98/C$96</f>
        <v>0</v>
      </c>
      <c r="O98" s="67"/>
      <c r="P98" s="67"/>
      <c r="Q98" s="67"/>
      <c r="R98" s="67"/>
      <c r="S98" s="67"/>
      <c r="T98" s="67"/>
      <c r="W98" s="3"/>
      <c r="X98" s="3"/>
    </row>
    <row r="99" spans="1:29">
      <c r="A99" s="79" t="s">
        <v>111</v>
      </c>
      <c r="B99" s="140">
        <v>326054</v>
      </c>
      <c r="C99" s="140">
        <v>1249868</v>
      </c>
      <c r="D99" s="139">
        <v>0</v>
      </c>
      <c r="E99" s="139">
        <v>0</v>
      </c>
      <c r="F99" s="139">
        <v>750000</v>
      </c>
      <c r="G99" s="139">
        <v>1000000</v>
      </c>
      <c r="H99" s="139">
        <v>1500000</v>
      </c>
      <c r="I99" s="139">
        <v>1000000</v>
      </c>
      <c r="K99" s="3"/>
      <c r="L99" s="88" t="str">
        <f>A99</f>
        <v>Return of Patrons Capital</v>
      </c>
      <c r="M99" s="67">
        <f t="shared" si="126"/>
        <v>-5.6877069411152933E-2</v>
      </c>
      <c r="N99" s="67">
        <f t="shared" si="127"/>
        <v>-0.75254492415051288</v>
      </c>
      <c r="O99" s="67">
        <f t="shared" ref="O99:R99" si="128">D99/D$96</f>
        <v>0</v>
      </c>
      <c r="P99" s="67">
        <f t="shared" si="128"/>
        <v>0</v>
      </c>
      <c r="Q99" s="67">
        <f>F99/F$96</f>
        <v>-7.6973674284973578E-2</v>
      </c>
      <c r="R99" s="67">
        <f t="shared" si="128"/>
        <v>0.12793844216267655</v>
      </c>
      <c r="S99" s="67">
        <f>H99/H$96</f>
        <v>-0.17248772491105671</v>
      </c>
      <c r="T99" s="67">
        <f t="shared" ref="T99" si="129">I99/I$96</f>
        <v>0.19741422894641408</v>
      </c>
      <c r="U99" s="67">
        <f>SUM(D99:I99)/SUM(D$71:I$71)</f>
        <v>3.0065984145858501E-3</v>
      </c>
      <c r="W99" s="3"/>
      <c r="X99" s="3"/>
      <c r="Y99" s="1">
        <f>D99/D55</f>
        <v>0</v>
      </c>
      <c r="Z99" s="1">
        <f>E99/E55</f>
        <v>0</v>
      </c>
      <c r="AA99" s="1">
        <f>F99/F55</f>
        <v>8.6736602967883696E-3</v>
      </c>
      <c r="AB99" s="1">
        <f>G99/G55</f>
        <v>1.0719843493715341E-2</v>
      </c>
      <c r="AC99" s="1"/>
    </row>
    <row r="100" spans="1:29">
      <c r="A100" s="79"/>
      <c r="B100" s="132"/>
      <c r="C100" s="132"/>
      <c r="D100" s="100"/>
      <c r="E100" s="101"/>
      <c r="F100" s="101"/>
      <c r="G100" s="101"/>
      <c r="H100" s="101"/>
      <c r="I100" s="99"/>
      <c r="K100" s="3"/>
      <c r="L100" s="88"/>
      <c r="M100" s="88"/>
      <c r="N100" s="88"/>
      <c r="O100" s="67"/>
      <c r="P100" s="67"/>
      <c r="Q100" s="67"/>
      <c r="R100" s="67"/>
      <c r="S100" s="67"/>
      <c r="T100" s="67"/>
      <c r="W100" s="3"/>
      <c r="X100" s="3"/>
      <c r="Y100" s="1"/>
      <c r="Z100" s="1"/>
      <c r="AA100" s="1"/>
      <c r="AB100" s="1"/>
      <c r="AC100" s="1"/>
    </row>
    <row r="101" spans="1:29">
      <c r="D101" s="162"/>
      <c r="E101" s="162"/>
      <c r="F101" s="162"/>
      <c r="G101" s="162"/>
      <c r="H101" s="162"/>
      <c r="I101" s="162"/>
      <c r="K101" s="15"/>
      <c r="O101" s="67"/>
      <c r="P101" s="67"/>
      <c r="Q101" s="67"/>
      <c r="R101" s="67"/>
      <c r="S101" s="67"/>
      <c r="T101" s="67"/>
      <c r="W101" s="3"/>
      <c r="X101" s="3"/>
    </row>
    <row r="102" spans="1:29">
      <c r="D102" s="11"/>
      <c r="E102" s="11"/>
      <c r="F102" s="11"/>
      <c r="G102" s="66"/>
      <c r="H102" s="66"/>
      <c r="I102" s="11"/>
      <c r="J102" s="71" t="str">
        <f>U59</f>
        <v>Exhibit 1</v>
      </c>
      <c r="K102" s="15"/>
    </row>
    <row r="103" spans="1:29">
      <c r="D103" s="11"/>
      <c r="E103" s="11"/>
      <c r="F103" s="11"/>
      <c r="G103" s="11"/>
      <c r="H103" s="11"/>
      <c r="I103" s="11"/>
      <c r="J103" s="72" t="s">
        <v>177</v>
      </c>
      <c r="K103" s="50"/>
      <c r="L103" s="70"/>
      <c r="M103" s="70"/>
      <c r="N103" s="70"/>
      <c r="O103" s="24"/>
      <c r="P103" s="24"/>
      <c r="Q103" s="24"/>
      <c r="R103" s="24"/>
      <c r="S103" s="24"/>
      <c r="T103" s="24"/>
      <c r="U103" s="70"/>
      <c r="V103" s="132"/>
      <c r="W103" s="24"/>
      <c r="X103" s="24"/>
    </row>
    <row r="104" spans="1:29" ht="18">
      <c r="A104" s="269" t="str">
        <f>A3</f>
        <v>Deseret Generation &amp; Transmission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48"/>
      <c r="L104" s="69"/>
      <c r="M104" s="69"/>
      <c r="N104" s="69"/>
      <c r="O104" s="48"/>
      <c r="P104" s="48"/>
      <c r="Q104" s="48"/>
      <c r="R104" s="48"/>
      <c r="S104" s="48"/>
      <c r="T104" s="48"/>
      <c r="U104" s="69"/>
      <c r="W104" s="48"/>
      <c r="X104" s="48"/>
    </row>
    <row r="105" spans="1:29" ht="15.75">
      <c r="A105" s="270" t="s">
        <v>58</v>
      </c>
      <c r="B105" s="270"/>
      <c r="C105" s="270"/>
      <c r="D105" s="270"/>
      <c r="E105" s="270"/>
      <c r="F105" s="270"/>
      <c r="G105" s="270"/>
      <c r="H105" s="270"/>
      <c r="I105" s="270"/>
      <c r="J105" s="270"/>
      <c r="K105" s="49"/>
      <c r="L105" s="76"/>
      <c r="M105" s="76"/>
      <c r="N105" s="76"/>
      <c r="O105" s="49"/>
      <c r="P105" s="49"/>
      <c r="Q105" s="49"/>
      <c r="R105" s="49"/>
      <c r="S105" s="49"/>
      <c r="T105" s="49"/>
      <c r="U105" s="76"/>
      <c r="W105" s="49"/>
      <c r="X105" s="49"/>
    </row>
    <row r="106" spans="1:29" ht="15.75">
      <c r="A106" s="271" t="str">
        <f>A5</f>
        <v>Years Ended December 31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49"/>
      <c r="L106" s="76"/>
      <c r="M106" s="76"/>
      <c r="N106" s="76"/>
      <c r="O106" s="49"/>
      <c r="P106" s="49"/>
      <c r="Q106" s="49"/>
      <c r="R106" s="49"/>
      <c r="S106" s="49"/>
      <c r="T106" s="49"/>
      <c r="U106" s="76"/>
      <c r="W106" s="49"/>
      <c r="X106" s="49"/>
    </row>
    <row r="107" spans="1:29" ht="15.75">
      <c r="A107" s="87"/>
      <c r="B107" s="87"/>
      <c r="C107" s="87"/>
      <c r="D107" s="48"/>
      <c r="E107" s="48"/>
      <c r="F107" s="48"/>
      <c r="G107" s="48"/>
      <c r="H107" s="48"/>
      <c r="I107" s="48"/>
      <c r="J107" s="76"/>
      <c r="K107" s="49"/>
      <c r="L107" s="76"/>
      <c r="M107" s="76"/>
      <c r="N107" s="76"/>
      <c r="O107" s="49"/>
      <c r="P107" s="49"/>
      <c r="Q107" s="49"/>
      <c r="R107" s="49"/>
      <c r="S107" s="49"/>
      <c r="T107" s="49"/>
      <c r="U107" s="76"/>
      <c r="W107" s="49"/>
      <c r="X107" s="49"/>
    </row>
    <row r="108" spans="1:29">
      <c r="D108" s="37"/>
      <c r="E108" s="37"/>
      <c r="F108" s="37"/>
      <c r="G108" s="37"/>
      <c r="H108" s="37"/>
      <c r="I108" s="37"/>
      <c r="K108" s="3"/>
      <c r="O108" s="3"/>
      <c r="P108" s="3"/>
      <c r="Q108" s="3"/>
      <c r="R108" s="3"/>
      <c r="S108" s="3"/>
      <c r="T108" s="3"/>
      <c r="W108" s="3"/>
      <c r="X108" s="3"/>
    </row>
    <row r="109" spans="1:29">
      <c r="A109" s="110"/>
      <c r="B109" s="110"/>
      <c r="C109" s="110"/>
      <c r="D109" s="110"/>
      <c r="E109" s="110"/>
      <c r="F109" s="110"/>
      <c r="G109" s="110"/>
      <c r="H109" s="110"/>
      <c r="I109" s="117"/>
      <c r="J109" s="128" t="str">
        <f>J7</f>
        <v>2005 to 2010</v>
      </c>
      <c r="K109" s="7"/>
      <c r="L109" s="71"/>
      <c r="M109" s="71"/>
      <c r="N109" s="71"/>
      <c r="O109" s="7"/>
      <c r="P109" s="7"/>
      <c r="Q109" s="7"/>
      <c r="R109" s="7"/>
      <c r="S109" s="7"/>
      <c r="T109" s="7"/>
      <c r="U109" s="71"/>
      <c r="W109" s="7"/>
      <c r="X109" s="7"/>
    </row>
    <row r="110" spans="1:29">
      <c r="A110" s="118" t="s">
        <v>33</v>
      </c>
      <c r="B110" s="120">
        <f>+C110-1</f>
        <v>2003</v>
      </c>
      <c r="C110" s="120">
        <f>+D110-1</f>
        <v>2004</v>
      </c>
      <c r="D110" s="119">
        <f>O67</f>
        <v>2005</v>
      </c>
      <c r="E110" s="119">
        <f>P67</f>
        <v>2006</v>
      </c>
      <c r="F110" s="119">
        <f>Q67</f>
        <v>2007</v>
      </c>
      <c r="G110" s="120">
        <f>R67</f>
        <v>2008</v>
      </c>
      <c r="H110" s="120">
        <f>+H67</f>
        <v>2009</v>
      </c>
      <c r="I110" s="120">
        <f>+I67</f>
        <v>2010</v>
      </c>
      <c r="J110" s="129" t="s">
        <v>3</v>
      </c>
      <c r="K110" s="10"/>
      <c r="L110" s="89"/>
      <c r="M110" s="89"/>
      <c r="N110" s="89"/>
      <c r="O110" s="10"/>
      <c r="P110" s="10"/>
      <c r="Q110" s="10"/>
      <c r="R110" s="10"/>
      <c r="S110" s="10"/>
      <c r="T110" s="10"/>
      <c r="U110" s="89"/>
      <c r="W110" s="10"/>
      <c r="X110" s="10"/>
    </row>
    <row r="111" spans="1:29" ht="7.5" customHeight="1">
      <c r="A111" s="81"/>
      <c r="B111" s="81"/>
      <c r="C111" s="81"/>
      <c r="D111" s="102"/>
      <c r="E111" s="102"/>
      <c r="F111" s="102"/>
      <c r="G111" s="92"/>
      <c r="H111" s="92"/>
      <c r="I111" s="92"/>
      <c r="J111" s="89"/>
      <c r="K111" s="10"/>
      <c r="L111" s="89"/>
      <c r="M111" s="89"/>
      <c r="N111" s="89"/>
      <c r="O111" s="10"/>
      <c r="P111" s="10"/>
      <c r="Q111" s="10"/>
      <c r="R111" s="10"/>
      <c r="S111" s="10"/>
      <c r="T111" s="10"/>
      <c r="U111" s="89"/>
      <c r="W111" s="10"/>
      <c r="X111" s="10"/>
    </row>
    <row r="112" spans="1:29">
      <c r="A112" s="78" t="s">
        <v>41</v>
      </c>
      <c r="B112" s="78"/>
      <c r="C112" s="78"/>
      <c r="D112" s="103"/>
      <c r="E112" s="103"/>
      <c r="F112" s="103"/>
      <c r="G112" s="103"/>
      <c r="H112" s="103"/>
      <c r="I112" s="103"/>
      <c r="K112" s="3"/>
      <c r="O112" s="3"/>
      <c r="P112" s="3"/>
      <c r="Q112" s="3"/>
      <c r="R112" s="3"/>
      <c r="S112" s="3"/>
      <c r="T112" s="3"/>
      <c r="W112" s="3"/>
      <c r="X112" s="3"/>
    </row>
    <row r="113" spans="1:24">
      <c r="A113" s="37" t="s">
        <v>6</v>
      </c>
      <c r="B113" s="90">
        <f t="shared" ref="B113:I113" si="130">B18/B43</f>
        <v>2.8317638361772373</v>
      </c>
      <c r="C113" s="90">
        <f t="shared" si="130"/>
        <v>2.9139278624877942</v>
      </c>
      <c r="D113" s="90">
        <f t="shared" si="130"/>
        <v>2.8390556004444694</v>
      </c>
      <c r="E113" s="90">
        <f t="shared" si="130"/>
        <v>4.3183911595132809</v>
      </c>
      <c r="F113" s="90">
        <f t="shared" si="130"/>
        <v>3.975271090985931</v>
      </c>
      <c r="G113" s="90">
        <f t="shared" si="130"/>
        <v>4.0236742596407025</v>
      </c>
      <c r="H113" s="90">
        <f t="shared" si="130"/>
        <v>3.6330758008764228</v>
      </c>
      <c r="I113" s="90">
        <f t="shared" si="130"/>
        <v>3.1568287536968507</v>
      </c>
      <c r="J113" s="90">
        <f>AVERAGE(D113:I113)</f>
        <v>3.6577161108596097</v>
      </c>
      <c r="K113" s="4"/>
      <c r="L113" s="90"/>
      <c r="M113" s="90"/>
      <c r="N113" s="90"/>
      <c r="O113" s="4"/>
      <c r="P113" s="4"/>
      <c r="Q113" s="4"/>
      <c r="R113" s="4"/>
      <c r="S113" s="4"/>
      <c r="T113" s="4"/>
      <c r="U113" s="90"/>
      <c r="W113" s="4"/>
      <c r="X113" s="4"/>
    </row>
    <row r="114" spans="1:24">
      <c r="A114" s="37" t="s">
        <v>32</v>
      </c>
      <c r="B114" s="90">
        <f t="shared" ref="B114:I114" si="131">(B12+B14)/B43</f>
        <v>1.9598743844027797</v>
      </c>
      <c r="C114" s="90">
        <f t="shared" si="131"/>
        <v>1.6349856027592622</v>
      </c>
      <c r="D114" s="90">
        <f t="shared" si="131"/>
        <v>1.3547598854134741</v>
      </c>
      <c r="E114" s="90">
        <f t="shared" si="131"/>
        <v>1.5902136689693529</v>
      </c>
      <c r="F114" s="90">
        <f t="shared" si="131"/>
        <v>1.6968123048956132</v>
      </c>
      <c r="G114" s="90">
        <f t="shared" si="131"/>
        <v>1.2881796303031627</v>
      </c>
      <c r="H114" s="90">
        <f>(H12+H14)/H43</f>
        <v>1.1525932552454008</v>
      </c>
      <c r="I114" s="90">
        <f t="shared" si="131"/>
        <v>0.99990651055297153</v>
      </c>
      <c r="J114" s="90">
        <f t="shared" ref="J114:J115" si="132">AVERAGE(D114:I114)</f>
        <v>1.3470775425633292</v>
      </c>
      <c r="K114" s="4"/>
      <c r="L114" s="90"/>
      <c r="M114" s="90"/>
      <c r="N114" s="90"/>
      <c r="O114" s="4"/>
      <c r="P114" s="4"/>
      <c r="Q114" s="4"/>
      <c r="R114" s="4"/>
      <c r="S114" s="4"/>
      <c r="T114" s="4"/>
      <c r="U114" s="90"/>
      <c r="W114" s="4"/>
      <c r="X114" s="4"/>
    </row>
    <row r="115" spans="1:24">
      <c r="A115" s="37" t="s">
        <v>9</v>
      </c>
      <c r="B115" s="90"/>
      <c r="C115" s="90">
        <f t="shared" ref="C115:H115" si="133">365*(((B14+C14)/2)/((B71+C71)/2))</f>
        <v>49.944921907858919</v>
      </c>
      <c r="D115" s="90">
        <f t="shared" si="133"/>
        <v>49.432826289142014</v>
      </c>
      <c r="E115" s="90">
        <f t="shared" si="133"/>
        <v>51.984126589527904</v>
      </c>
      <c r="F115" s="90">
        <f t="shared" si="133"/>
        <v>52.250875779846517</v>
      </c>
      <c r="G115" s="90">
        <f t="shared" si="133"/>
        <v>43.552507024625513</v>
      </c>
      <c r="H115" s="90">
        <f t="shared" si="133"/>
        <v>37.160643996784415</v>
      </c>
      <c r="I115" s="90">
        <f>365*(((G14+I14)/2)/((G71+I71)/2))</f>
        <v>42.226329411381073</v>
      </c>
      <c r="J115" s="90">
        <f t="shared" si="132"/>
        <v>46.101218181884576</v>
      </c>
      <c r="K115" s="4"/>
      <c r="L115" s="90"/>
      <c r="M115" s="90"/>
      <c r="N115" s="90"/>
      <c r="O115" s="4"/>
      <c r="P115" s="4"/>
      <c r="Q115" s="4"/>
      <c r="R115" s="4"/>
      <c r="S115" s="4"/>
      <c r="T115" s="4"/>
      <c r="U115" s="90"/>
      <c r="W115" s="4"/>
      <c r="X115" s="4"/>
    </row>
    <row r="116" spans="1:24">
      <c r="D116" s="90"/>
      <c r="E116" s="90"/>
      <c r="F116" s="90"/>
      <c r="G116" s="90"/>
      <c r="H116" s="90"/>
      <c r="I116" s="90"/>
      <c r="J116" s="90"/>
      <c r="K116" s="4"/>
      <c r="L116" s="90"/>
      <c r="M116" s="90"/>
      <c r="N116" s="90"/>
      <c r="O116" s="4"/>
      <c r="P116" s="4"/>
      <c r="Q116" s="4"/>
      <c r="R116" s="4"/>
      <c r="S116" s="4"/>
      <c r="T116" s="4"/>
      <c r="U116" s="90"/>
      <c r="W116" s="4"/>
      <c r="X116" s="4"/>
    </row>
    <row r="117" spans="1:24">
      <c r="A117" s="78" t="s">
        <v>21</v>
      </c>
      <c r="B117" s="78"/>
      <c r="C117" s="78"/>
      <c r="D117" s="90"/>
      <c r="E117" s="90"/>
      <c r="F117" s="90"/>
      <c r="G117" s="90"/>
      <c r="H117" s="90"/>
      <c r="I117" s="90"/>
      <c r="J117" s="90"/>
      <c r="K117" s="4"/>
      <c r="L117" s="90"/>
      <c r="M117" s="90"/>
      <c r="N117" s="90"/>
      <c r="O117" s="4"/>
      <c r="P117" s="4"/>
      <c r="Q117" s="4"/>
      <c r="R117" s="4"/>
      <c r="S117" s="4"/>
      <c r="T117" s="4"/>
      <c r="U117" s="90"/>
      <c r="W117" s="4"/>
      <c r="X117" s="4"/>
    </row>
    <row r="118" spans="1:24">
      <c r="A118" s="37" t="s">
        <v>25</v>
      </c>
      <c r="B118" s="90">
        <f t="shared" ref="B118:C118" si="134">B55/B50</f>
        <v>0.22295042591133449</v>
      </c>
      <c r="C118" s="90">
        <f t="shared" si="134"/>
        <v>0.222247876319451</v>
      </c>
      <c r="D118" s="90">
        <f t="shared" ref="D118:I118" si="135">D55/D50</f>
        <v>0.20402169870806394</v>
      </c>
      <c r="E118" s="90">
        <f t="shared" si="135"/>
        <v>0.24045894639294998</v>
      </c>
      <c r="F118" s="90">
        <f t="shared" si="135"/>
        <v>0.2202167063650648</v>
      </c>
      <c r="G118" s="90">
        <f t="shared" si="135"/>
        <v>0.24881369395003747</v>
      </c>
      <c r="H118" s="90">
        <f t="shared" si="135"/>
        <v>0.22034418799800118</v>
      </c>
      <c r="I118" s="90">
        <f t="shared" si="135"/>
        <v>0.23355264160161937</v>
      </c>
      <c r="J118" s="90">
        <f t="shared" ref="J118:J121" si="136">AVERAGE(D118:I118)</f>
        <v>0.2279013125026228</v>
      </c>
      <c r="K118" s="4"/>
      <c r="L118" s="90"/>
      <c r="M118" s="90"/>
      <c r="N118" s="90"/>
      <c r="O118" s="4"/>
      <c r="P118" s="4"/>
      <c r="Q118" s="4"/>
      <c r="R118" s="4"/>
      <c r="S118" s="4"/>
      <c r="T118" s="4"/>
      <c r="U118" s="90"/>
      <c r="W118" s="4"/>
      <c r="X118" s="4"/>
    </row>
    <row r="119" spans="1:24">
      <c r="A119" s="37" t="s">
        <v>24</v>
      </c>
      <c r="B119" s="90">
        <f t="shared" ref="B119:C119" si="137">B55/B48</f>
        <v>0.23653061736758849</v>
      </c>
      <c r="C119" s="90">
        <f t="shared" si="137"/>
        <v>0.23659663525321184</v>
      </c>
      <c r="D119" s="90">
        <f t="shared" ref="D119:I119" si="138">D55/D48</f>
        <v>0.22143302718144259</v>
      </c>
      <c r="E119" s="90">
        <f t="shared" si="138"/>
        <v>0.25756431790673595</v>
      </c>
      <c r="F119" s="90">
        <f t="shared" si="138"/>
        <v>0.23693032177153231</v>
      </c>
      <c r="G119" s="90">
        <f t="shared" si="138"/>
        <v>0.27138880740334564</v>
      </c>
      <c r="H119" s="90">
        <f t="shared" si="138"/>
        <v>0.24422725393529682</v>
      </c>
      <c r="I119" s="90">
        <f t="shared" si="138"/>
        <v>0.26642943097779959</v>
      </c>
      <c r="J119" s="90">
        <f t="shared" si="136"/>
        <v>0.24966219319602545</v>
      </c>
      <c r="K119" s="4"/>
      <c r="L119" s="90"/>
      <c r="M119" s="90"/>
      <c r="N119" s="90"/>
      <c r="O119" s="4"/>
      <c r="P119" s="4"/>
      <c r="Q119" s="4"/>
      <c r="R119" s="4"/>
      <c r="S119" s="4"/>
      <c r="T119" s="4"/>
      <c r="U119" s="90"/>
      <c r="W119" s="4"/>
      <c r="X119" s="4"/>
    </row>
    <row r="120" spans="1:24">
      <c r="A120" s="37" t="s">
        <v>23</v>
      </c>
      <c r="B120" s="90">
        <f t="shared" ref="B120:I120" si="139">B55/B28</f>
        <v>0.36663819260293712</v>
      </c>
      <c r="C120" s="90">
        <f t="shared" si="139"/>
        <v>0.3702644470020407</v>
      </c>
      <c r="D120" s="90">
        <f t="shared" si="139"/>
        <v>0.36360829177503745</v>
      </c>
      <c r="E120" s="90">
        <f t="shared" si="139"/>
        <v>0.42520562776784726</v>
      </c>
      <c r="F120" s="90">
        <f t="shared" si="139"/>
        <v>0.39784112305553404</v>
      </c>
      <c r="G120" s="90">
        <f t="shared" si="139"/>
        <v>0.44105053577424341</v>
      </c>
      <c r="H120" s="90">
        <f t="shared" si="139"/>
        <v>0.4058194798112183</v>
      </c>
      <c r="I120" s="90">
        <f t="shared" si="139"/>
        <v>0.43168367632879467</v>
      </c>
      <c r="J120" s="90">
        <f t="shared" si="136"/>
        <v>0.41086812241877918</v>
      </c>
      <c r="K120" s="4"/>
      <c r="L120" s="90"/>
      <c r="M120" s="90"/>
      <c r="N120" s="90"/>
      <c r="O120" s="4"/>
      <c r="P120" s="4"/>
      <c r="Q120" s="4"/>
      <c r="R120" s="4"/>
      <c r="S120" s="4"/>
      <c r="T120" s="4"/>
      <c r="U120" s="90"/>
      <c r="W120" s="4"/>
      <c r="X120" s="4"/>
    </row>
    <row r="121" spans="1:24">
      <c r="A121" s="37" t="s">
        <v>43</v>
      </c>
      <c r="B121" s="90">
        <f t="shared" ref="B121:C121" si="140">(B93+B86)/B86</f>
        <v>0.82352547864512726</v>
      </c>
      <c r="C121" s="90">
        <f t="shared" si="140"/>
        <v>0.8756198326011535</v>
      </c>
      <c r="D121" s="90">
        <f>(D93+D86)/D86</f>
        <v>0.84503720666213933</v>
      </c>
      <c r="E121" s="90">
        <f t="shared" ref="E121:I121" si="141">(E93+E86)/E86</f>
        <v>1.3297864082896911</v>
      </c>
      <c r="F121" s="90">
        <f t="shared" si="141"/>
        <v>0.62212471237864597</v>
      </c>
      <c r="G121" s="90">
        <f t="shared" si="141"/>
        <v>1.3082713044658023</v>
      </c>
      <c r="H121" s="90">
        <f t="shared" si="141"/>
        <v>0.71974624290069844</v>
      </c>
      <c r="I121" s="90">
        <f t="shared" si="141"/>
        <v>1.1566952709125453</v>
      </c>
      <c r="J121" s="90">
        <f t="shared" si="136"/>
        <v>0.99694352426825361</v>
      </c>
      <c r="K121" s="4"/>
      <c r="L121" s="90"/>
      <c r="M121" s="90"/>
      <c r="N121" s="90"/>
      <c r="O121" s="4"/>
      <c r="P121" s="4"/>
      <c r="Q121" s="4"/>
      <c r="R121" s="4"/>
      <c r="S121" s="4"/>
      <c r="T121" s="4"/>
      <c r="U121" s="90"/>
      <c r="W121" s="4"/>
      <c r="X121" s="4"/>
    </row>
    <row r="122" spans="1:24">
      <c r="D122" s="90"/>
      <c r="E122" s="90"/>
      <c r="F122" s="90"/>
      <c r="G122" s="90"/>
      <c r="H122" s="90"/>
      <c r="I122" s="90"/>
      <c r="J122" s="90"/>
      <c r="K122" s="4"/>
      <c r="L122" s="90"/>
      <c r="M122" s="90"/>
      <c r="N122" s="90"/>
      <c r="O122" s="4"/>
      <c r="P122" s="4"/>
      <c r="Q122" s="4"/>
      <c r="R122" s="4"/>
      <c r="S122" s="4"/>
      <c r="T122" s="4"/>
      <c r="U122" s="90"/>
      <c r="W122" s="4"/>
      <c r="X122" s="4"/>
    </row>
    <row r="123" spans="1:24">
      <c r="A123" s="78" t="s">
        <v>74</v>
      </c>
      <c r="B123" s="78"/>
      <c r="C123" s="78"/>
      <c r="D123" s="90"/>
      <c r="E123" s="90"/>
      <c r="F123" s="90"/>
      <c r="G123" s="90"/>
      <c r="H123" s="90"/>
      <c r="I123" s="90"/>
      <c r="J123" s="90"/>
      <c r="K123" s="4"/>
      <c r="L123" s="90"/>
      <c r="M123" s="90"/>
      <c r="N123" s="90"/>
      <c r="O123" s="4"/>
      <c r="P123" s="4"/>
      <c r="Q123" s="4"/>
      <c r="R123" s="4"/>
      <c r="S123" s="4"/>
      <c r="T123" s="4"/>
      <c r="U123" s="90"/>
      <c r="W123" s="4"/>
      <c r="X123" s="4"/>
    </row>
    <row r="124" spans="1:24">
      <c r="A124" s="37" t="s">
        <v>130</v>
      </c>
      <c r="B124" s="104">
        <f t="shared" ref="B124:C124" si="142">+B84/B71</f>
        <v>5.5210486371475499E-2</v>
      </c>
      <c r="C124" s="104">
        <f t="shared" si="142"/>
        <v>9.0594542804219316E-2</v>
      </c>
      <c r="D124" s="104">
        <f t="shared" ref="D124:I124" si="143">+D84/D71</f>
        <v>0.134800277180672</v>
      </c>
      <c r="E124" s="104">
        <f t="shared" si="143"/>
        <v>9.9405440405303191E-2</v>
      </c>
      <c r="F124" s="104">
        <f t="shared" si="143"/>
        <v>2.9518062638663415E-3</v>
      </c>
      <c r="G124" s="104">
        <f t="shared" si="143"/>
        <v>9.1546976380338971E-2</v>
      </c>
      <c r="H124" s="104">
        <f t="shared" si="143"/>
        <v>5.368415489306904E-2</v>
      </c>
      <c r="I124" s="104">
        <f t="shared" si="143"/>
        <v>8.5772051155607265E-2</v>
      </c>
      <c r="J124" s="104">
        <f>AVERAGE(D124:I124)</f>
        <v>7.8026784379809463E-2</v>
      </c>
      <c r="K124" s="4"/>
      <c r="L124" s="90"/>
      <c r="M124" s="90"/>
      <c r="N124" s="90"/>
      <c r="O124" s="4"/>
      <c r="P124" s="4"/>
      <c r="Q124" s="4"/>
      <c r="R124" s="4"/>
      <c r="S124" s="4"/>
      <c r="T124" s="4"/>
      <c r="U124" s="90"/>
      <c r="W124" s="4"/>
      <c r="X124" s="4"/>
    </row>
    <row r="125" spans="1:24">
      <c r="A125" s="37" t="s">
        <v>131</v>
      </c>
      <c r="B125" s="104">
        <f t="shared" ref="B125:C125" si="144">+B96/B71</f>
        <v>-3.0417791418178509E-2</v>
      </c>
      <c r="C125" s="104">
        <f t="shared" si="144"/>
        <v>-8.2047848861169052E-3</v>
      </c>
      <c r="D125" s="104">
        <f t="shared" ref="D125:I125" si="145">+D96/D71</f>
        <v>-2.3050775435400177E-2</v>
      </c>
      <c r="E125" s="104">
        <f t="shared" si="145"/>
        <v>4.8923437099197269E-2</v>
      </c>
      <c r="F125" s="104">
        <f t="shared" si="145"/>
        <v>-3.9657154877588724E-2</v>
      </c>
      <c r="G125" s="104">
        <f t="shared" si="145"/>
        <v>2.8909308497756112E-2</v>
      </c>
      <c r="H125" s="104">
        <f t="shared" si="145"/>
        <v>-3.8173729303490743E-2</v>
      </c>
      <c r="I125" s="104">
        <f t="shared" si="145"/>
        <v>2.1718505586656552E-2</v>
      </c>
      <c r="J125" s="104">
        <f t="shared" ref="J125:J128" si="146">AVERAGE(D125:I125)</f>
        <v>-2.2173473881161843E-4</v>
      </c>
      <c r="K125" s="4"/>
      <c r="L125" s="90"/>
      <c r="M125" s="90"/>
      <c r="N125" s="90"/>
      <c r="O125" s="4"/>
      <c r="P125" s="4"/>
      <c r="Q125" s="4"/>
      <c r="R125" s="4"/>
      <c r="S125" s="4"/>
      <c r="T125" s="4"/>
      <c r="U125" s="90"/>
      <c r="W125" s="4"/>
      <c r="X125" s="4"/>
    </row>
    <row r="126" spans="1:24">
      <c r="A126" s="37" t="s">
        <v>35</v>
      </c>
      <c r="B126" s="67"/>
      <c r="C126" s="67">
        <f t="shared" ref="C126:H126" si="147">(C96+(C86*(1-(C95/C93))))/((B36+C36)/2)</f>
        <v>2.3043716490906276E-2</v>
      </c>
      <c r="D126" s="67">
        <f t="shared" si="147"/>
        <v>5.3576225573186427E-2</v>
      </c>
      <c r="E126" s="67">
        <f>(E96+(E86*(1-(E95/E93))))/((D36+E36)/2)</f>
        <v>8.6601507876366071E-2</v>
      </c>
      <c r="F126" s="67">
        <f t="shared" si="147"/>
        <v>3.2760647221783561E-2</v>
      </c>
      <c r="G126" s="67">
        <f t="shared" si="147"/>
        <v>7.0031684220550991E-2</v>
      </c>
      <c r="H126" s="67">
        <f t="shared" si="147"/>
        <v>4.8113399151315371E-2</v>
      </c>
      <c r="I126" s="67">
        <f>(I96+(I86*(1-(I95/I93))))/((G36+I36)/2)</f>
        <v>8.0541734687806038E-2</v>
      </c>
      <c r="J126" s="104">
        <f t="shared" si="146"/>
        <v>6.1937533121834733E-2</v>
      </c>
      <c r="K126" s="4"/>
      <c r="L126" s="90"/>
      <c r="M126" s="90"/>
      <c r="N126" s="90"/>
      <c r="O126" s="4"/>
      <c r="P126" s="4"/>
      <c r="Q126" s="4"/>
      <c r="R126" s="4"/>
      <c r="S126" s="4"/>
      <c r="T126" s="4"/>
      <c r="U126" s="90"/>
      <c r="W126" s="4"/>
      <c r="X126" s="4"/>
    </row>
    <row r="127" spans="1:24">
      <c r="A127" s="37" t="s">
        <v>73</v>
      </c>
      <c r="B127" s="67"/>
      <c r="C127" s="67">
        <f t="shared" ref="C127" si="148">(C96+(C86*(1-(C95/C93))))/((B45+C45+B55+C55)/2)</f>
        <v>2.8963815415434527E-2</v>
      </c>
      <c r="D127" s="67">
        <f>(D96+(D86*(1-(D95/D93))))/((C45+D45+C55+D55)/2)</f>
        <v>6.6790298430395717E-2</v>
      </c>
      <c r="E127" s="67">
        <f>(E96+(E86*(1-(E95/E93))))/((D45+E45+D55+E55)/2)</f>
        <v>0.10550926049555841</v>
      </c>
      <c r="F127" s="67">
        <f t="shared" ref="F127:I127" si="149">(F96+(F86*(1-(F95/F93))))/((E45+F45+E55+F55)/2)</f>
        <v>3.9678661015180881E-2</v>
      </c>
      <c r="G127" s="67">
        <f t="shared" si="149"/>
        <v>8.59129559619939E-2</v>
      </c>
      <c r="H127" s="67">
        <f t="shared" si="149"/>
        <v>5.97206585075373E-2</v>
      </c>
      <c r="I127" s="67">
        <f t="shared" si="149"/>
        <v>0.1022099999222201</v>
      </c>
      <c r="J127" s="104">
        <f t="shared" si="146"/>
        <v>7.6636972388814395E-2</v>
      </c>
      <c r="K127" s="4"/>
      <c r="L127" s="90"/>
      <c r="M127" s="90"/>
      <c r="N127" s="90"/>
      <c r="O127" s="4"/>
      <c r="P127" s="4"/>
      <c r="Q127" s="4"/>
      <c r="R127" s="4"/>
      <c r="S127" s="4"/>
      <c r="T127" s="4"/>
      <c r="U127" s="90"/>
      <c r="W127" s="4"/>
      <c r="X127" s="4"/>
    </row>
    <row r="128" spans="1:24">
      <c r="A128" s="37" t="s">
        <v>72</v>
      </c>
      <c r="B128" s="67">
        <v>6.7734997943316805E-2</v>
      </c>
      <c r="C128" s="67">
        <v>6.7734997943316805E-2</v>
      </c>
      <c r="D128" s="67">
        <v>6.7734997943316805E-2</v>
      </c>
      <c r="E128" s="67">
        <v>6.7734997943316805E-2</v>
      </c>
      <c r="F128" s="67">
        <f>(F96-F98)/((F55+E55)/2)</f>
        <v>-0.10623714717386232</v>
      </c>
      <c r="G128" s="67">
        <f>(G96-G98)/((G55+F55)/2)</f>
        <v>8.6966355488711719E-2</v>
      </c>
      <c r="H128" s="67">
        <f>(H96-H98)/((H55+G55)/2)</f>
        <v>-9.8611925614702334E-2</v>
      </c>
      <c r="I128" s="67">
        <f>(I96-I98)/((I55+G55)/2)</f>
        <v>5.6146264832198881E-2</v>
      </c>
      <c r="J128" s="104">
        <f t="shared" si="146"/>
        <v>1.228892390316326E-2</v>
      </c>
      <c r="K128" s="4"/>
      <c r="L128" s="90"/>
      <c r="M128" s="90"/>
      <c r="N128" s="90"/>
      <c r="O128" s="4"/>
      <c r="P128" s="4"/>
      <c r="Q128" s="4"/>
      <c r="R128" s="4"/>
      <c r="S128" s="4"/>
      <c r="T128" s="4"/>
      <c r="U128" s="90"/>
      <c r="W128" s="4"/>
      <c r="X128" s="4"/>
    </row>
    <row r="129" spans="1:24">
      <c r="D129" s="90"/>
      <c r="E129" s="90"/>
      <c r="F129" s="90"/>
      <c r="G129" s="90"/>
      <c r="H129" s="90"/>
      <c r="I129" s="90"/>
      <c r="J129" s="90"/>
      <c r="K129" s="4"/>
      <c r="L129" s="90"/>
      <c r="M129" s="90"/>
      <c r="N129" s="90"/>
      <c r="O129" s="4"/>
      <c r="P129" s="4"/>
      <c r="Q129" s="4"/>
      <c r="R129" s="4"/>
      <c r="S129" s="4"/>
      <c r="T129" s="4"/>
      <c r="U129" s="90"/>
      <c r="W129" s="4"/>
      <c r="X129" s="4"/>
    </row>
    <row r="130" spans="1:24">
      <c r="A130" s="78" t="s">
        <v>2</v>
      </c>
      <c r="B130" s="78"/>
      <c r="C130" s="78"/>
      <c r="D130" s="90"/>
      <c r="E130" s="90"/>
      <c r="F130" s="90"/>
      <c r="G130" s="90"/>
      <c r="H130" s="90"/>
      <c r="I130" s="90"/>
      <c r="J130" s="90"/>
      <c r="K130" s="4"/>
      <c r="L130" s="90"/>
      <c r="M130" s="90"/>
      <c r="N130" s="90"/>
      <c r="O130" s="4"/>
      <c r="P130" s="4"/>
      <c r="Q130" s="4"/>
      <c r="R130" s="4"/>
      <c r="S130" s="4"/>
      <c r="T130" s="4"/>
      <c r="U130" s="90"/>
      <c r="W130" s="4"/>
      <c r="X130" s="4"/>
    </row>
    <row r="131" spans="1:24">
      <c r="A131" s="37" t="s">
        <v>37</v>
      </c>
      <c r="B131" s="90"/>
      <c r="C131" s="90">
        <f t="shared" ref="C131:G131" si="150">C71/((B12+C12)/2)</f>
        <v>11.758293205547888</v>
      </c>
      <c r="D131" s="90">
        <f>D71/((C12+D12)/2)</f>
        <v>14.798859833326912</v>
      </c>
      <c r="E131" s="90">
        <f t="shared" si="150"/>
        <v>17.431840430609022</v>
      </c>
      <c r="F131" s="90">
        <f t="shared" si="150"/>
        <v>21.624297126430484</v>
      </c>
      <c r="G131" s="90">
        <f t="shared" si="150"/>
        <v>21.126223211514965</v>
      </c>
      <c r="H131" s="90">
        <f>H71/((G12+H12)/2)</f>
        <v>14.25702802071079</v>
      </c>
      <c r="I131" s="90">
        <f>I71/((G12+I12)/2)</f>
        <v>16.685258872083601</v>
      </c>
      <c r="J131" s="90">
        <f t="shared" ref="J131:J135" si="151">AVERAGE(D131:I131)</f>
        <v>17.653917915779292</v>
      </c>
      <c r="K131" s="4"/>
      <c r="L131" s="90"/>
      <c r="M131" s="90"/>
      <c r="N131" s="90"/>
      <c r="O131" s="4"/>
      <c r="P131" s="4"/>
      <c r="Q131" s="4"/>
      <c r="R131" s="4"/>
      <c r="S131" s="4"/>
      <c r="T131" s="4"/>
      <c r="U131" s="90"/>
      <c r="W131" s="4"/>
      <c r="X131" s="4"/>
    </row>
    <row r="132" spans="1:24">
      <c r="A132" s="37" t="s">
        <v>36</v>
      </c>
      <c r="B132" s="90"/>
      <c r="C132" s="90">
        <f t="shared" ref="C132:H132" si="152">C71/((B14+C14)/2)</f>
        <v>7.5690994718106115</v>
      </c>
      <c r="D132" s="90">
        <f t="shared" si="152"/>
        <v>7.6076365603927751</v>
      </c>
      <c r="E132" s="90">
        <f t="shared" si="152"/>
        <v>7.1224051801801798</v>
      </c>
      <c r="F132" s="90">
        <f t="shared" si="152"/>
        <v>7.349437270548508</v>
      </c>
      <c r="G132" s="90">
        <f t="shared" si="152"/>
        <v>8.7814157740801537</v>
      </c>
      <c r="H132" s="90">
        <f t="shared" si="152"/>
        <v>8.983018629804576</v>
      </c>
      <c r="I132" s="90">
        <f>I71/((G14+I14)/2)</f>
        <v>8.0064613952872072</v>
      </c>
      <c r="J132" s="90">
        <f t="shared" si="151"/>
        <v>7.9750624683822338</v>
      </c>
      <c r="K132" s="4"/>
      <c r="L132" s="90"/>
      <c r="M132" s="90"/>
      <c r="N132" s="90"/>
      <c r="O132" s="4"/>
      <c r="P132" s="4"/>
      <c r="Q132" s="4"/>
      <c r="R132" s="4"/>
      <c r="S132" s="4"/>
      <c r="T132" s="4"/>
      <c r="U132" s="90"/>
      <c r="W132" s="4"/>
      <c r="X132" s="4"/>
    </row>
    <row r="133" spans="1:24">
      <c r="A133" s="37" t="s">
        <v>40</v>
      </c>
      <c r="B133" s="90"/>
      <c r="C133" s="90">
        <f t="shared" ref="C133:H133" si="153">C71/((B18+C18-B43-C43)/2)</f>
        <v>4.4119894941013493</v>
      </c>
      <c r="D133" s="90">
        <f t="shared" si="153"/>
        <v>3.9602351693806606</v>
      </c>
      <c r="E133" s="90">
        <f t="shared" si="153"/>
        <v>2.9532071487793261</v>
      </c>
      <c r="F133" s="90">
        <f t="shared" si="153"/>
        <v>2.8689848691481603</v>
      </c>
      <c r="G133" s="90">
        <f t="shared" si="153"/>
        <v>3.0600500796103733</v>
      </c>
      <c r="H133" s="90">
        <f t="shared" si="153"/>
        <v>2.380494709347396</v>
      </c>
      <c r="I133" s="90">
        <f>I71/((G18+I18-G43-I43)/2)</f>
        <v>2.4092254918256324</v>
      </c>
      <c r="J133" s="90">
        <f t="shared" si="151"/>
        <v>2.9386995780152585</v>
      </c>
      <c r="K133" s="4"/>
      <c r="L133" s="90"/>
      <c r="M133" s="90"/>
      <c r="N133" s="90"/>
      <c r="O133" s="4"/>
      <c r="P133" s="4"/>
      <c r="Q133" s="4"/>
      <c r="R133" s="4"/>
      <c r="S133" s="4"/>
      <c r="T133" s="4"/>
      <c r="U133" s="90"/>
      <c r="W133" s="4"/>
      <c r="X133" s="4"/>
    </row>
    <row r="134" spans="1:24">
      <c r="A134" s="37" t="s">
        <v>38</v>
      </c>
      <c r="B134" s="90"/>
      <c r="C134" s="90">
        <f>C71/((B28+C28)/2)</f>
        <v>0.80726143371785219</v>
      </c>
      <c r="D134" s="90">
        <f>D71/((C28+D28)/2)</f>
        <v>0.89080933483835489</v>
      </c>
      <c r="E134" s="90">
        <f>E71/((D28+E28)/2)</f>
        <v>0.95227163122531577</v>
      </c>
      <c r="F134" s="90">
        <f>F71/((D28+F28)/2)</f>
        <v>1.0818186747834764</v>
      </c>
      <c r="G134" s="90">
        <f>G71/((E28+G28)/2)</f>
        <v>1.2302416051742935</v>
      </c>
      <c r="H134" s="90">
        <f>H71/((F28+H28)/2)</f>
        <v>1.0794332001659854</v>
      </c>
      <c r="I134" s="90">
        <f>I71/((F28+I28)/2)</f>
        <v>1.1126552022558414</v>
      </c>
      <c r="J134" s="90">
        <f t="shared" si="151"/>
        <v>1.0578716080738777</v>
      </c>
      <c r="K134" s="4"/>
      <c r="L134" s="90"/>
      <c r="M134" s="90"/>
      <c r="N134" s="90"/>
      <c r="O134" s="4"/>
      <c r="P134" s="4"/>
      <c r="Q134" s="4"/>
      <c r="R134" s="4"/>
      <c r="S134" s="4"/>
      <c r="T134" s="4"/>
      <c r="U134" s="90"/>
      <c r="W134" s="4"/>
      <c r="X134" s="4"/>
    </row>
    <row r="135" spans="1:24">
      <c r="A135" s="37" t="s">
        <v>39</v>
      </c>
      <c r="B135" s="90"/>
      <c r="C135" s="90">
        <f t="shared" ref="C135:H135" si="154">C71/((B36+C36)/2)</f>
        <v>0.39895220665539122</v>
      </c>
      <c r="D135" s="90">
        <f t="shared" si="154"/>
        <v>0.42622427410800084</v>
      </c>
      <c r="E135" s="90">
        <f t="shared" si="154"/>
        <v>0.43899478014513843</v>
      </c>
      <c r="F135" s="90">
        <f t="shared" si="154"/>
        <v>0.50176684065328769</v>
      </c>
      <c r="G135" s="90">
        <f t="shared" si="154"/>
        <v>0.57081076094523153</v>
      </c>
      <c r="H135" s="90">
        <f t="shared" si="154"/>
        <v>0.49076489299180154</v>
      </c>
      <c r="I135" s="90">
        <f>I71/((G36+I36)/2)</f>
        <v>0.5023749428706864</v>
      </c>
      <c r="J135" s="90">
        <f t="shared" si="151"/>
        <v>0.48848941528569106</v>
      </c>
      <c r="K135" s="4"/>
      <c r="L135" s="90"/>
      <c r="M135" s="90"/>
      <c r="N135" s="90"/>
      <c r="O135" s="4"/>
      <c r="P135" s="4"/>
      <c r="Q135" s="4"/>
      <c r="R135" s="4"/>
      <c r="S135" s="4"/>
      <c r="T135" s="4"/>
      <c r="U135" s="90"/>
      <c r="W135" s="4"/>
      <c r="X135" s="4"/>
    </row>
    <row r="136" spans="1:24">
      <c r="D136" s="37"/>
      <c r="E136" s="37"/>
      <c r="F136" s="37"/>
      <c r="G136" s="37"/>
      <c r="H136" s="37"/>
      <c r="I136" s="37"/>
      <c r="J136" s="90"/>
      <c r="K136" s="4"/>
      <c r="L136" s="90"/>
      <c r="M136" s="90"/>
      <c r="N136" s="90"/>
      <c r="O136" s="4"/>
      <c r="P136" s="4"/>
      <c r="Q136" s="4"/>
      <c r="R136" s="4"/>
      <c r="S136" s="4"/>
      <c r="T136" s="4"/>
      <c r="U136" s="90"/>
      <c r="W136" s="4"/>
      <c r="X136" s="4"/>
    </row>
    <row r="137" spans="1:24">
      <c r="A137" s="78" t="s">
        <v>75</v>
      </c>
      <c r="B137" s="78"/>
      <c r="C137" s="78"/>
      <c r="D137" s="37"/>
      <c r="E137" s="37"/>
      <c r="F137" s="37"/>
      <c r="G137" s="37"/>
      <c r="H137" s="37"/>
      <c r="I137" s="37"/>
      <c r="J137" s="90"/>
      <c r="K137" s="4"/>
      <c r="L137" s="90"/>
      <c r="M137" s="90"/>
      <c r="N137" s="90"/>
      <c r="O137" s="4"/>
      <c r="P137" s="4"/>
      <c r="Q137" s="4"/>
      <c r="R137" s="4"/>
      <c r="S137" s="4"/>
      <c r="T137" s="4"/>
      <c r="U137" s="90"/>
      <c r="W137" s="4"/>
      <c r="X137" s="4"/>
    </row>
    <row r="138" spans="1:24">
      <c r="A138" s="37" t="s">
        <v>76</v>
      </c>
      <c r="D138" s="91"/>
      <c r="E138" s="91"/>
      <c r="F138" s="91"/>
      <c r="G138" s="91"/>
      <c r="H138" s="91"/>
      <c r="I138" s="91"/>
      <c r="J138" s="90"/>
      <c r="K138" s="4"/>
      <c r="L138" s="90"/>
      <c r="M138" s="90"/>
      <c r="N138" s="90"/>
      <c r="O138" s="4"/>
      <c r="P138" s="4"/>
      <c r="Q138" s="4"/>
      <c r="R138" s="4"/>
      <c r="S138" s="4"/>
      <c r="T138" s="4"/>
      <c r="U138" s="90"/>
      <c r="W138" s="4"/>
      <c r="X138" s="4"/>
    </row>
    <row r="139" spans="1:24">
      <c r="A139" s="37" t="s">
        <v>78</v>
      </c>
      <c r="D139" s="37"/>
      <c r="E139" s="37"/>
      <c r="F139" s="37"/>
      <c r="G139" s="37"/>
      <c r="H139" s="37"/>
      <c r="I139" s="37"/>
      <c r="J139" s="90"/>
      <c r="K139" s="4"/>
      <c r="L139" s="90"/>
      <c r="M139" s="90"/>
      <c r="N139" s="90"/>
      <c r="O139" s="4"/>
      <c r="P139" s="4"/>
      <c r="Q139" s="4"/>
      <c r="R139" s="4"/>
      <c r="S139" s="4"/>
      <c r="T139" s="4"/>
      <c r="U139" s="90"/>
      <c r="W139" s="4"/>
      <c r="X139" s="4"/>
    </row>
    <row r="140" spans="1:24">
      <c r="A140" s="37" t="s">
        <v>77</v>
      </c>
      <c r="D140" s="37"/>
      <c r="E140" s="37"/>
      <c r="F140" s="37"/>
      <c r="G140" s="37"/>
      <c r="H140" s="37"/>
      <c r="I140" s="37"/>
      <c r="J140" s="90"/>
      <c r="K140" s="4"/>
      <c r="L140" s="90"/>
      <c r="M140" s="90"/>
      <c r="N140" s="90"/>
      <c r="O140" s="4"/>
      <c r="P140" s="4"/>
      <c r="Q140" s="4"/>
      <c r="R140" s="4"/>
      <c r="S140" s="4"/>
      <c r="T140" s="4"/>
      <c r="U140" s="90"/>
      <c r="W140" s="4"/>
      <c r="X140" s="4"/>
    </row>
    <row r="141" spans="1:24">
      <c r="D141" s="37"/>
      <c r="E141" s="37"/>
      <c r="F141" s="37"/>
      <c r="G141" s="37"/>
      <c r="H141" s="37"/>
      <c r="I141" s="37"/>
      <c r="J141" s="90"/>
      <c r="K141" s="4"/>
      <c r="L141" s="90"/>
      <c r="M141" s="90"/>
      <c r="N141" s="90"/>
      <c r="O141" s="4"/>
      <c r="P141" s="4"/>
      <c r="Q141" s="4"/>
      <c r="R141" s="4"/>
      <c r="S141" s="4"/>
      <c r="T141" s="4"/>
      <c r="U141" s="90"/>
      <c r="W141" s="4"/>
      <c r="X141" s="4"/>
    </row>
    <row r="142" spans="1:24">
      <c r="A142" s="78" t="s">
        <v>91</v>
      </c>
      <c r="B142" s="78"/>
      <c r="C142" s="78"/>
      <c r="D142" s="37"/>
      <c r="E142" s="37"/>
      <c r="F142" s="37"/>
      <c r="G142" s="37"/>
      <c r="H142" s="37"/>
      <c r="I142" s="37"/>
      <c r="J142" s="90"/>
      <c r="K142" s="4"/>
      <c r="L142" s="90"/>
      <c r="M142" s="90"/>
      <c r="N142" s="90"/>
      <c r="O142" s="4"/>
      <c r="P142" s="4"/>
      <c r="Q142" s="4"/>
      <c r="R142" s="4"/>
      <c r="S142" s="4"/>
      <c r="T142" s="4"/>
      <c r="U142" s="90"/>
      <c r="W142" s="4"/>
      <c r="X142" s="4"/>
    </row>
    <row r="143" spans="1:24">
      <c r="A143" s="37" t="s">
        <v>67</v>
      </c>
      <c r="B143" s="67">
        <f t="shared" ref="B143:C143" si="155">B45/(B$45+B$55)</f>
        <v>0.77167322753917522</v>
      </c>
      <c r="C143" s="67">
        <f t="shared" si="155"/>
        <v>0.77061081297643563</v>
      </c>
      <c r="D143" s="67">
        <f t="shared" ref="D143:I143" si="156">D45/(D$45+D$55)</f>
        <v>0.79118404317236035</v>
      </c>
      <c r="E143" s="67">
        <f t="shared" si="156"/>
        <v>0.76652298021642695</v>
      </c>
      <c r="F143" s="67">
        <f t="shared" si="156"/>
        <v>0.78013421526611593</v>
      </c>
      <c r="G143" s="67">
        <f t="shared" si="156"/>
        <v>0.75382000408888372</v>
      </c>
      <c r="H143" s="67">
        <f t="shared" si="156"/>
        <v>0.77483330976213161</v>
      </c>
      <c r="I143" s="67">
        <f t="shared" si="156"/>
        <v>0.75968771969927662</v>
      </c>
      <c r="J143" s="104">
        <f t="shared" ref="J143:J144" si="157">AVERAGE(D143:I143)</f>
        <v>0.77103037870086588</v>
      </c>
      <c r="K143" s="4"/>
      <c r="L143" s="90"/>
      <c r="M143" s="90"/>
      <c r="N143" s="90"/>
      <c r="O143" s="4"/>
      <c r="P143" s="4"/>
      <c r="Q143" s="4"/>
      <c r="R143" s="4"/>
      <c r="S143" s="4"/>
      <c r="T143" s="4"/>
      <c r="U143" s="90"/>
      <c r="W143" s="4"/>
      <c r="X143" s="4"/>
    </row>
    <row r="144" spans="1:24">
      <c r="A144" s="37" t="s">
        <v>92</v>
      </c>
      <c r="B144" s="67">
        <f t="shared" ref="B144:C144" si="158">B55/(B$45+B$55)</f>
        <v>0.22832677246082472</v>
      </c>
      <c r="C144" s="67">
        <f t="shared" si="158"/>
        <v>0.22938918702356442</v>
      </c>
      <c r="D144" s="67">
        <f t="shared" ref="D144:I144" si="159">D55/(D$45+D$55)</f>
        <v>0.20881595682763962</v>
      </c>
      <c r="E144" s="67">
        <f t="shared" si="159"/>
        <v>0.23347701978357305</v>
      </c>
      <c r="F144" s="67">
        <f t="shared" si="159"/>
        <v>0.21986578473388405</v>
      </c>
      <c r="G144" s="67">
        <f t="shared" si="159"/>
        <v>0.24617999591111631</v>
      </c>
      <c r="H144" s="67">
        <f t="shared" si="159"/>
        <v>0.22516669023786839</v>
      </c>
      <c r="I144" s="67">
        <f t="shared" si="159"/>
        <v>0.24031228030072335</v>
      </c>
      <c r="J144" s="104">
        <f t="shared" si="157"/>
        <v>0.22896962129913412</v>
      </c>
      <c r="L144" s="4"/>
      <c r="M144" s="90"/>
      <c r="N144" s="90"/>
      <c r="O144" s="4"/>
      <c r="P144" s="4"/>
      <c r="Q144" s="4"/>
      <c r="R144" s="4"/>
      <c r="S144" s="4"/>
      <c r="T144" s="4"/>
      <c r="U144" s="90"/>
      <c r="W144" s="4"/>
      <c r="X144" s="4"/>
    </row>
    <row r="145" spans="1:24">
      <c r="D145" s="37"/>
      <c r="E145" s="37"/>
      <c r="F145" s="37"/>
      <c r="G145" s="37"/>
      <c r="H145" s="37"/>
      <c r="I145" s="37"/>
      <c r="K145" s="4"/>
      <c r="L145" s="90"/>
      <c r="M145" s="90"/>
      <c r="N145" s="90"/>
      <c r="O145" s="4"/>
      <c r="P145" s="4"/>
      <c r="Q145" s="4"/>
      <c r="R145" s="4"/>
      <c r="S145" s="4"/>
      <c r="T145" s="4"/>
      <c r="U145" s="90"/>
      <c r="W145" s="4"/>
      <c r="X145" s="4"/>
    </row>
    <row r="146" spans="1:24">
      <c r="A146" s="78" t="s">
        <v>93</v>
      </c>
      <c r="D146" s="37"/>
      <c r="E146" s="37"/>
      <c r="F146" s="37"/>
      <c r="G146" s="37"/>
      <c r="H146" s="37"/>
      <c r="I146" s="37"/>
      <c r="K146" s="4"/>
      <c r="L146" s="90"/>
      <c r="M146" s="90"/>
      <c r="N146" s="90"/>
      <c r="O146" s="4"/>
      <c r="P146" s="4"/>
      <c r="Q146" s="4"/>
      <c r="R146" s="4"/>
      <c r="S146" s="4"/>
      <c r="T146" s="4"/>
      <c r="U146" s="90"/>
      <c r="W146" s="4"/>
      <c r="X146" s="4"/>
    </row>
    <row r="147" spans="1:24">
      <c r="A147" s="37" t="s">
        <v>94</v>
      </c>
      <c r="B147" s="67">
        <f t="shared" ref="B147:I147" si="160">B$39/(B$39+B$45+B$55)</f>
        <v>0</v>
      </c>
      <c r="C147" s="67">
        <f t="shared" si="160"/>
        <v>0</v>
      </c>
      <c r="D147" s="67">
        <f t="shared" si="160"/>
        <v>0</v>
      </c>
      <c r="E147" s="67">
        <f t="shared" si="160"/>
        <v>0</v>
      </c>
      <c r="F147" s="67">
        <f t="shared" si="160"/>
        <v>0</v>
      </c>
      <c r="G147" s="67">
        <f t="shared" si="160"/>
        <v>0</v>
      </c>
      <c r="H147" s="67">
        <f t="shared" si="160"/>
        <v>0</v>
      </c>
      <c r="I147" s="67">
        <f t="shared" si="160"/>
        <v>0</v>
      </c>
      <c r="J147" s="104">
        <f t="shared" ref="J147:J149" si="161">AVERAGE(D147:I147)</f>
        <v>0</v>
      </c>
      <c r="K147" s="4"/>
      <c r="L147" s="90"/>
      <c r="M147" s="90"/>
      <c r="N147" s="90"/>
      <c r="O147" s="4"/>
      <c r="P147" s="4"/>
      <c r="Q147" s="4"/>
      <c r="R147" s="4"/>
      <c r="S147" s="4"/>
      <c r="T147" s="4"/>
      <c r="U147" s="90"/>
      <c r="W147" s="4"/>
      <c r="X147" s="4"/>
    </row>
    <row r="148" spans="1:24">
      <c r="A148" s="37" t="s">
        <v>67</v>
      </c>
      <c r="B148" s="67">
        <f t="shared" ref="B148:I148" si="162">B$45/(B$39+B$45+B$55)</f>
        <v>0.77167322753917522</v>
      </c>
      <c r="C148" s="67">
        <f t="shared" si="162"/>
        <v>0.77061081297643563</v>
      </c>
      <c r="D148" s="67">
        <f t="shared" si="162"/>
        <v>0.79118404317236035</v>
      </c>
      <c r="E148" s="67">
        <f t="shared" si="162"/>
        <v>0.76652298021642695</v>
      </c>
      <c r="F148" s="67">
        <f t="shared" si="162"/>
        <v>0.78013421526611593</v>
      </c>
      <c r="G148" s="67">
        <f t="shared" si="162"/>
        <v>0.75382000408888372</v>
      </c>
      <c r="H148" s="67">
        <f t="shared" si="162"/>
        <v>0.77483330976213161</v>
      </c>
      <c r="I148" s="67">
        <f t="shared" si="162"/>
        <v>0.75968771969927662</v>
      </c>
      <c r="J148" s="104">
        <f t="shared" si="161"/>
        <v>0.77103037870086588</v>
      </c>
      <c r="K148" s="4"/>
      <c r="L148" s="90"/>
      <c r="M148" s="90"/>
      <c r="N148" s="90"/>
      <c r="O148" s="4"/>
      <c r="P148" s="4"/>
      <c r="Q148" s="4"/>
      <c r="R148" s="4"/>
      <c r="S148" s="4"/>
      <c r="T148" s="4"/>
      <c r="U148" s="90"/>
      <c r="W148" s="4"/>
      <c r="X148" s="4"/>
    </row>
    <row r="149" spans="1:24">
      <c r="A149" s="37" t="s">
        <v>5</v>
      </c>
      <c r="B149" s="67">
        <f t="shared" ref="B149:I149" si="163">B$55/(B$39+B$45+B$55)</f>
        <v>0.22832677246082472</v>
      </c>
      <c r="C149" s="67">
        <f t="shared" si="163"/>
        <v>0.22938918702356442</v>
      </c>
      <c r="D149" s="67">
        <f t="shared" si="163"/>
        <v>0.20881595682763962</v>
      </c>
      <c r="E149" s="67">
        <f t="shared" si="163"/>
        <v>0.23347701978357305</v>
      </c>
      <c r="F149" s="67">
        <f t="shared" si="163"/>
        <v>0.21986578473388405</v>
      </c>
      <c r="G149" s="67">
        <f t="shared" si="163"/>
        <v>0.24617999591111631</v>
      </c>
      <c r="H149" s="67">
        <f t="shared" si="163"/>
        <v>0.22516669023786839</v>
      </c>
      <c r="I149" s="67">
        <f t="shared" si="163"/>
        <v>0.24031228030072335</v>
      </c>
      <c r="J149" s="104">
        <f t="shared" si="161"/>
        <v>0.22896962129913412</v>
      </c>
      <c r="K149" s="4"/>
      <c r="L149" s="90"/>
      <c r="M149" s="90"/>
      <c r="N149" s="90"/>
      <c r="O149" s="4"/>
      <c r="P149" s="4"/>
      <c r="Q149" s="4"/>
      <c r="R149" s="4"/>
      <c r="S149" s="4"/>
      <c r="T149" s="4"/>
      <c r="U149" s="90"/>
      <c r="W149" s="4"/>
      <c r="X149" s="4"/>
    </row>
    <row r="150" spans="1:24">
      <c r="D150" s="37"/>
      <c r="E150" s="37"/>
      <c r="F150" s="37"/>
      <c r="G150" s="37"/>
      <c r="H150" s="37"/>
      <c r="I150" s="37"/>
      <c r="J150" s="90"/>
      <c r="K150" s="4"/>
      <c r="L150" s="90"/>
      <c r="M150" s="90"/>
      <c r="N150" s="90"/>
      <c r="O150" s="4"/>
      <c r="P150" s="4"/>
      <c r="Q150" s="4"/>
      <c r="R150" s="4"/>
      <c r="S150" s="4"/>
      <c r="T150" s="4"/>
      <c r="U150" s="90"/>
      <c r="W150" s="4"/>
      <c r="X150" s="4"/>
    </row>
    <row r="151" spans="1:24">
      <c r="D151" s="37"/>
      <c r="E151" s="37"/>
      <c r="F151" s="37"/>
      <c r="G151" s="37"/>
      <c r="H151" s="37"/>
      <c r="I151" s="37"/>
      <c r="K151" s="3"/>
      <c r="O151" s="3"/>
      <c r="P151" s="3"/>
      <c r="Q151" s="3"/>
      <c r="R151" s="3"/>
      <c r="S151" s="3"/>
      <c r="T151" s="3"/>
      <c r="W151" s="3"/>
      <c r="X151" s="3"/>
    </row>
    <row r="152" spans="1:24">
      <c r="D152" s="37"/>
      <c r="E152" s="37"/>
      <c r="F152" s="37"/>
      <c r="G152" s="37"/>
      <c r="H152" s="37"/>
      <c r="I152" s="37"/>
      <c r="K152" s="15"/>
      <c r="O152" s="15"/>
      <c r="P152" s="15"/>
      <c r="Q152" s="15"/>
      <c r="R152" s="15"/>
      <c r="S152" s="15"/>
      <c r="T152" s="15"/>
      <c r="W152" s="15"/>
      <c r="X152" s="15"/>
    </row>
    <row r="159" spans="1:24">
      <c r="A159" s="37" t="s">
        <v>183</v>
      </c>
      <c r="D159" s="162">
        <f>(D86+C86)/(D45+C45)</f>
        <v>0.10108548726026516</v>
      </c>
      <c r="E159" s="162">
        <f>(E86+D86)/(E45+D45)</f>
        <v>0.10056587614851847</v>
      </c>
      <c r="F159" s="162">
        <f t="shared" ref="F159:I159" si="164">(F86+E86)/(F45+E45)</f>
        <v>9.3777159485267589E-2</v>
      </c>
      <c r="G159" s="162">
        <f t="shared" si="164"/>
        <v>8.6319265919816451E-2</v>
      </c>
      <c r="H159" s="162">
        <f t="shared" si="164"/>
        <v>9.865026307337392E-2</v>
      </c>
      <c r="I159" s="162">
        <f t="shared" si="164"/>
        <v>0.11284789158256628</v>
      </c>
      <c r="J159" s="104">
        <f>AVERAGE(D159:I159)</f>
        <v>9.8874323911634657E-2</v>
      </c>
    </row>
    <row r="160" spans="1:24">
      <c r="A160" s="37" t="s">
        <v>184</v>
      </c>
      <c r="D160" s="66">
        <f>+D45-C45</f>
        <v>20338631</v>
      </c>
      <c r="E160" s="66">
        <f>+E45-D45</f>
        <v>-8012866</v>
      </c>
      <c r="F160" s="66">
        <f t="shared" ref="F160:I160" si="165">+F45-E45</f>
        <v>-11523876</v>
      </c>
      <c r="G160" s="66">
        <f t="shared" si="165"/>
        <v>-21165834</v>
      </c>
      <c r="H160" s="66">
        <f t="shared" si="165"/>
        <v>276053</v>
      </c>
      <c r="I160" s="66">
        <f t="shared" si="165"/>
        <v>-10404645</v>
      </c>
      <c r="J160" s="66">
        <f>AVERAGE(D160:I160)</f>
        <v>-5082089.5</v>
      </c>
    </row>
  </sheetData>
  <mergeCells count="15">
    <mergeCell ref="A104:J104"/>
    <mergeCell ref="A105:J105"/>
    <mergeCell ref="A106:J106"/>
    <mergeCell ref="L3:U3"/>
    <mergeCell ref="L4:U4"/>
    <mergeCell ref="L5:U5"/>
    <mergeCell ref="L61:U61"/>
    <mergeCell ref="L62:U62"/>
    <mergeCell ref="L63:U63"/>
    <mergeCell ref="A3:J3"/>
    <mergeCell ref="A4:J4"/>
    <mergeCell ref="A5:J5"/>
    <mergeCell ref="A61:J61"/>
    <mergeCell ref="A62:J62"/>
    <mergeCell ref="A63:J63"/>
  </mergeCells>
  <phoneticPr fontId="4" type="noConversion"/>
  <printOptions horizontalCentered="1"/>
  <pageMargins left="0.67" right="0.7" top="0.75" bottom="0.75" header="0.28999999999999998" footer="0.3"/>
  <pageSetup scale="78" fitToHeight="5" orientation="portrait" r:id="rId1"/>
  <headerFooter alignWithMargins="0"/>
  <rowBreaks count="2" manualBreakCount="2">
    <brk id="58" max="14" man="1"/>
    <brk id="10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showGridLines="0" zoomScaleNormal="100" workbookViewId="0">
      <selection activeCell="K22" sqref="K22"/>
    </sheetView>
  </sheetViews>
  <sheetFormatPr defaultRowHeight="12.75"/>
  <cols>
    <col min="1" max="1" width="32.7109375" customWidth="1"/>
    <col min="2" max="3" width="11.7109375" hidden="1" customWidth="1"/>
    <col min="4" max="9" width="11.7109375" customWidth="1"/>
    <col min="10" max="14" width="12.7109375" customWidth="1"/>
  </cols>
  <sheetData>
    <row r="1" spans="1:9">
      <c r="A1" s="37"/>
      <c r="B1" s="37"/>
      <c r="C1" s="37"/>
      <c r="D1" s="11"/>
      <c r="E1" s="11"/>
      <c r="F1" s="11"/>
      <c r="G1" s="11"/>
      <c r="H1" s="11"/>
      <c r="I1" s="71" t="s">
        <v>88</v>
      </c>
    </row>
    <row r="2" spans="1:9">
      <c r="A2" s="37"/>
      <c r="B2" s="37"/>
      <c r="C2" s="37"/>
      <c r="D2" s="11"/>
      <c r="E2" s="11"/>
      <c r="F2" s="11"/>
      <c r="G2" s="11"/>
      <c r="H2" s="11"/>
      <c r="I2" s="72" t="s">
        <v>173</v>
      </c>
    </row>
    <row r="3" spans="1:9" ht="18">
      <c r="A3" s="269" t="str">
        <f>Assumptions!D3</f>
        <v>Deseret Generation &amp; Transmission</v>
      </c>
      <c r="B3" s="269"/>
      <c r="C3" s="269"/>
      <c r="D3" s="269"/>
      <c r="E3" s="269"/>
      <c r="F3" s="269"/>
      <c r="G3" s="269"/>
      <c r="H3" s="269"/>
      <c r="I3" s="269"/>
    </row>
    <row r="4" spans="1:9" ht="15.75">
      <c r="A4" s="270" t="s">
        <v>140</v>
      </c>
      <c r="B4" s="270"/>
      <c r="C4" s="270"/>
      <c r="D4" s="270"/>
      <c r="E4" s="270"/>
      <c r="F4" s="270"/>
      <c r="G4" s="270"/>
      <c r="H4" s="270"/>
      <c r="I4" s="270"/>
    </row>
    <row r="5" spans="1:9" ht="15.75">
      <c r="A5" s="271" t="s">
        <v>86</v>
      </c>
      <c r="B5" s="271"/>
      <c r="C5" s="271"/>
      <c r="D5" s="271"/>
      <c r="E5" s="271"/>
      <c r="F5" s="271"/>
      <c r="G5" s="271"/>
      <c r="H5" s="271"/>
      <c r="I5" s="271"/>
    </row>
    <row r="6" spans="1:9" ht="15.75">
      <c r="A6" s="77"/>
      <c r="B6" s="77"/>
      <c r="C6" s="77"/>
      <c r="D6" s="48"/>
      <c r="E6" s="48"/>
      <c r="F6" s="48"/>
      <c r="G6" s="48"/>
      <c r="H6" s="48"/>
      <c r="I6" s="48"/>
    </row>
    <row r="7" spans="1:9">
      <c r="A7" s="107"/>
      <c r="B7" s="107"/>
      <c r="C7" s="107"/>
      <c r="D7" s="110"/>
      <c r="E7" s="110"/>
      <c r="F7" s="110"/>
      <c r="G7" s="110"/>
      <c r="H7" s="110"/>
      <c r="I7" s="110"/>
    </row>
    <row r="8" spans="1:9">
      <c r="A8" s="107"/>
      <c r="B8" s="107"/>
      <c r="C8" s="107"/>
      <c r="D8" s="110"/>
      <c r="E8" s="110"/>
      <c r="F8" s="122"/>
      <c r="G8" s="122"/>
      <c r="H8" s="122"/>
      <c r="I8" s="123"/>
    </row>
    <row r="9" spans="1:9">
      <c r="A9" s="108" t="s">
        <v>0</v>
      </c>
      <c r="B9" s="108">
        <v>2003</v>
      </c>
      <c r="C9" s="108">
        <v>2004</v>
      </c>
      <c r="D9" s="124">
        <v>2005</v>
      </c>
      <c r="E9" s="124">
        <f>D9+1</f>
        <v>2006</v>
      </c>
      <c r="F9" s="120">
        <f>E9+1</f>
        <v>2007</v>
      </c>
      <c r="G9" s="120">
        <f>F9+1</f>
        <v>2008</v>
      </c>
      <c r="H9" s="120">
        <f>G9+1</f>
        <v>2009</v>
      </c>
      <c r="I9" s="120">
        <f>H9+1</f>
        <v>2010</v>
      </c>
    </row>
    <row r="11" spans="1:9">
      <c r="A11" t="s">
        <v>22</v>
      </c>
      <c r="B11" s="137">
        <f>+'Exhibit 1'!B96</f>
        <v>-5732609</v>
      </c>
      <c r="C11" s="137">
        <f>+'Exhibit 1'!C96</f>
        <v>-1660855</v>
      </c>
      <c r="D11" s="137">
        <f>+'Exhibit 1'!D96</f>
        <v>-4957859</v>
      </c>
      <c r="E11" s="137">
        <f>+'Exhibit 1'!E96</f>
        <v>10829905</v>
      </c>
      <c r="F11" s="137">
        <f>+'Exhibit 1'!F96</f>
        <v>-9743591</v>
      </c>
      <c r="G11" s="137">
        <f>+'Exhibit 1'!G96</f>
        <v>7816259</v>
      </c>
      <c r="H11" s="137">
        <f>+'Exhibit 1'!H96</f>
        <v>-8696271</v>
      </c>
      <c r="I11" s="137">
        <f>+'Exhibit 1'!I96</f>
        <v>5065491</v>
      </c>
    </row>
    <row r="12" spans="1:9">
      <c r="B12" s="137"/>
      <c r="C12" s="137"/>
      <c r="D12" s="137"/>
      <c r="E12" s="137"/>
      <c r="F12" s="137"/>
      <c r="G12" s="137"/>
      <c r="H12" s="137"/>
      <c r="I12" s="137"/>
    </row>
    <row r="13" spans="1:9">
      <c r="A13" s="78" t="s">
        <v>141</v>
      </c>
      <c r="B13" s="137"/>
      <c r="C13" s="137"/>
      <c r="D13" s="137"/>
      <c r="E13" s="137"/>
      <c r="F13" s="137"/>
      <c r="G13" s="137"/>
      <c r="H13" s="137"/>
      <c r="I13" s="137"/>
    </row>
    <row r="14" spans="1:9">
      <c r="A14" t="s">
        <v>142</v>
      </c>
      <c r="B14" s="137">
        <f>12781839+22786+330483</f>
        <v>13135108</v>
      </c>
      <c r="C14" s="137">
        <f>12940285+330483</f>
        <v>13270768</v>
      </c>
      <c r="D14" s="137">
        <f>12850783+330483</f>
        <v>13181266</v>
      </c>
      <c r="E14" s="137">
        <f>12979641+330483</f>
        <v>13310124</v>
      </c>
      <c r="F14" s="137">
        <f>13161290+330483</f>
        <v>13491773</v>
      </c>
      <c r="G14" s="137">
        <f>13232784+330483</f>
        <v>13563267</v>
      </c>
      <c r="H14" s="137">
        <f>13631162+592579</f>
        <v>14223741</v>
      </c>
      <c r="I14" s="137">
        <f>13727747+330483</f>
        <v>14058230</v>
      </c>
    </row>
    <row r="15" spans="1:9">
      <c r="A15" s="37" t="s">
        <v>145</v>
      </c>
      <c r="B15" s="137">
        <v>7456831</v>
      </c>
      <c r="C15" s="137">
        <v>9441925</v>
      </c>
      <c r="D15" s="137">
        <v>9441925</v>
      </c>
      <c r="E15" s="137">
        <v>966926</v>
      </c>
      <c r="F15" s="137">
        <v>1190249</v>
      </c>
      <c r="G15" s="137">
        <f>31511-87769</f>
        <v>-56258</v>
      </c>
      <c r="H15" s="137">
        <f>-28138-64629</f>
        <v>-92767</v>
      </c>
      <c r="I15" s="137">
        <v>-237566</v>
      </c>
    </row>
    <row r="16" spans="1:9">
      <c r="A16" s="37" t="s">
        <v>143</v>
      </c>
      <c r="B16" s="150">
        <v>617461</v>
      </c>
      <c r="C16" s="150">
        <v>-2310477</v>
      </c>
      <c r="D16" s="139">
        <v>-6233984</v>
      </c>
      <c r="E16" s="139">
        <v>2318619</v>
      </c>
      <c r="F16" s="139">
        <v>-2073361</v>
      </c>
      <c r="G16" s="139">
        <v>6265349</v>
      </c>
      <c r="H16" s="139">
        <v>1218103</v>
      </c>
      <c r="I16" s="139">
        <v>-1072888</v>
      </c>
    </row>
    <row r="17" spans="1:9">
      <c r="A17" s="37" t="s">
        <v>146</v>
      </c>
      <c r="B17" s="137">
        <v>-6964304</v>
      </c>
      <c r="C17" s="137">
        <v>1274898</v>
      </c>
      <c r="D17" s="137">
        <v>-8103591</v>
      </c>
      <c r="E17" s="137">
        <v>-1229810</v>
      </c>
      <c r="F17" s="137">
        <v>-1797779</v>
      </c>
      <c r="G17" s="137">
        <v>9159734</v>
      </c>
      <c r="H17" s="137">
        <v>3807862</v>
      </c>
      <c r="I17" s="137">
        <v>-7541769</v>
      </c>
    </row>
    <row r="18" spans="1:9">
      <c r="A18" s="37" t="s">
        <v>147</v>
      </c>
      <c r="B18" s="137">
        <v>-3178852</v>
      </c>
      <c r="C18" s="137">
        <v>-9626810</v>
      </c>
      <c r="D18" s="137">
        <v>-4695179</v>
      </c>
      <c r="E18" s="137">
        <v>1285508</v>
      </c>
      <c r="F18" s="137">
        <v>4500303</v>
      </c>
      <c r="G18" s="137">
        <v>-2687293</v>
      </c>
      <c r="H18" s="137">
        <v>-10503465</v>
      </c>
      <c r="I18" s="137">
        <v>385950</v>
      </c>
    </row>
    <row r="19" spans="1:9">
      <c r="A19" s="37" t="s">
        <v>148</v>
      </c>
      <c r="B19" s="137">
        <v>8911723</v>
      </c>
      <c r="C19" s="137">
        <v>-1265223</v>
      </c>
      <c r="D19" s="137">
        <v>8413756</v>
      </c>
      <c r="E19" s="137">
        <v>-5870264</v>
      </c>
      <c r="F19" s="137">
        <v>913313</v>
      </c>
      <c r="G19" s="137">
        <v>-496148</v>
      </c>
      <c r="H19" s="137">
        <v>35904</v>
      </c>
      <c r="I19" s="137">
        <v>-535688</v>
      </c>
    </row>
    <row r="20" spans="1:9">
      <c r="A20" s="37" t="s">
        <v>149</v>
      </c>
      <c r="B20" s="137">
        <v>2445961</v>
      </c>
      <c r="C20" s="137">
        <v>6146966</v>
      </c>
      <c r="D20" s="137">
        <v>6610518</v>
      </c>
      <c r="E20" s="137">
        <v>-737687</v>
      </c>
      <c r="F20" s="137">
        <v>323484</v>
      </c>
      <c r="G20" s="137">
        <v>740413</v>
      </c>
      <c r="H20" s="137">
        <v>1722011</v>
      </c>
      <c r="I20" s="137">
        <v>-7036823</v>
      </c>
    </row>
    <row r="21" spans="1:9">
      <c r="A21" s="37" t="s">
        <v>171</v>
      </c>
      <c r="B21" s="137">
        <v>-459450</v>
      </c>
      <c r="C21" s="137">
        <v>1074278</v>
      </c>
      <c r="D21" s="137">
        <f>269387-74729</f>
        <v>194658</v>
      </c>
      <c r="E21" s="137">
        <f>786816-545379</f>
        <v>241437</v>
      </c>
      <c r="F21" s="137">
        <v>-22126</v>
      </c>
      <c r="G21" s="137">
        <v>413467</v>
      </c>
      <c r="H21" s="137">
        <v>23639</v>
      </c>
      <c r="I21" s="137">
        <v>-134742</v>
      </c>
    </row>
    <row r="22" spans="1:9">
      <c r="A22" s="37" t="s">
        <v>150</v>
      </c>
      <c r="B22" s="137">
        <v>-1393639</v>
      </c>
      <c r="C22" s="137">
        <v>6187227</v>
      </c>
      <c r="D22" s="137">
        <v>-254205</v>
      </c>
      <c r="E22" s="137">
        <v>13444741</v>
      </c>
      <c r="F22" s="137">
        <v>12561369</v>
      </c>
      <c r="G22" s="137">
        <v>14081471</v>
      </c>
      <c r="H22" s="137">
        <v>11737412</v>
      </c>
      <c r="I22" s="137">
        <v>16000420</v>
      </c>
    </row>
    <row r="23" spans="1:9">
      <c r="A23" s="37" t="s">
        <v>151</v>
      </c>
      <c r="B23" s="137">
        <v>-2635539</v>
      </c>
      <c r="C23" s="137">
        <v>-1750195</v>
      </c>
      <c r="D23" s="137">
        <v>-8261718</v>
      </c>
      <c r="E23" s="137">
        <v>-2655277</v>
      </c>
      <c r="F23" s="137">
        <v>-3550377</v>
      </c>
      <c r="G23" s="137">
        <v>-3809360</v>
      </c>
      <c r="H23" s="137">
        <v>-3285961</v>
      </c>
      <c r="I23" s="137">
        <v>-295694</v>
      </c>
    </row>
    <row r="24" spans="1:9">
      <c r="A24" s="37" t="s">
        <v>152</v>
      </c>
      <c r="B24" s="137"/>
      <c r="C24" s="137"/>
      <c r="D24" s="137"/>
      <c r="E24" s="137"/>
      <c r="F24" s="137"/>
      <c r="G24" s="137">
        <v>1142831</v>
      </c>
      <c r="H24" s="137">
        <v>-1119681</v>
      </c>
      <c r="I24" s="137"/>
    </row>
    <row r="25" spans="1:9">
      <c r="B25" s="137"/>
      <c r="C25" s="137"/>
      <c r="D25" s="137"/>
      <c r="E25" s="137"/>
      <c r="F25" s="137"/>
      <c r="G25" s="137"/>
      <c r="H25" s="137"/>
      <c r="I25" s="137"/>
    </row>
    <row r="26" spans="1:9">
      <c r="A26" s="37" t="s">
        <v>144</v>
      </c>
      <c r="B26" s="137">
        <f t="shared" ref="B26:F26" si="0">SUM(B11:B25)</f>
        <v>12202691</v>
      </c>
      <c r="C26" s="137">
        <f t="shared" si="0"/>
        <v>20782502</v>
      </c>
      <c r="D26" s="137">
        <f t="shared" si="0"/>
        <v>5335587</v>
      </c>
      <c r="E26" s="137">
        <f t="shared" si="0"/>
        <v>31904222</v>
      </c>
      <c r="F26" s="137">
        <f t="shared" si="0"/>
        <v>15793257</v>
      </c>
      <c r="G26" s="137">
        <f>SUM(G11:G25)</f>
        <v>46133732</v>
      </c>
      <c r="H26" s="137">
        <f>SUM(H11:H25)</f>
        <v>9070527</v>
      </c>
      <c r="I26" s="137">
        <f>SUM(I11:I25)</f>
        <v>18654921</v>
      </c>
    </row>
    <row r="27" spans="1:9">
      <c r="B27" s="137"/>
      <c r="C27" s="137"/>
      <c r="D27" s="137"/>
      <c r="E27" s="137"/>
      <c r="F27" s="137"/>
      <c r="G27" s="137"/>
      <c r="H27" s="137"/>
      <c r="I27" s="137"/>
    </row>
    <row r="28" spans="1:9">
      <c r="A28" s="78" t="s">
        <v>155</v>
      </c>
      <c r="B28" s="137"/>
      <c r="C28" s="137"/>
      <c r="D28" s="137"/>
      <c r="E28" s="137"/>
      <c r="F28" s="137"/>
      <c r="G28" s="137"/>
      <c r="H28" s="137"/>
      <c r="I28" s="137"/>
    </row>
    <row r="29" spans="1:9">
      <c r="A29" s="37" t="s">
        <v>156</v>
      </c>
      <c r="B29" s="137">
        <v>-3385469</v>
      </c>
      <c r="C29" s="137">
        <v>-3787909</v>
      </c>
      <c r="D29" s="137">
        <v>-4049591</v>
      </c>
      <c r="E29" s="137">
        <v>-4481109</v>
      </c>
      <c r="F29" s="137">
        <v>-2800336</v>
      </c>
      <c r="G29" s="139">
        <v>-7724751</v>
      </c>
      <c r="H29" s="137">
        <v>-571110</v>
      </c>
      <c r="I29" s="139">
        <v>-974254</v>
      </c>
    </row>
    <row r="30" spans="1:9">
      <c r="A30" s="37" t="s">
        <v>158</v>
      </c>
      <c r="B30" s="137">
        <f>3142640-2131274</f>
        <v>1011366</v>
      </c>
      <c r="C30" s="137">
        <f>-1696676+586087</f>
        <v>-1110589</v>
      </c>
      <c r="D30" s="137">
        <v>1891057</v>
      </c>
      <c r="E30" s="137">
        <v>2872939</v>
      </c>
      <c r="F30" s="137">
        <v>-2325361</v>
      </c>
      <c r="G30" s="137">
        <v>247253</v>
      </c>
      <c r="H30" s="137">
        <v>16605</v>
      </c>
      <c r="I30" s="137">
        <v>6685</v>
      </c>
    </row>
    <row r="31" spans="1:9">
      <c r="A31" s="37" t="s">
        <v>172</v>
      </c>
      <c r="B31" s="137">
        <v>26230</v>
      </c>
      <c r="C31" s="137">
        <v>27516</v>
      </c>
      <c r="D31" s="137"/>
      <c r="E31" s="137"/>
      <c r="F31" s="137"/>
      <c r="G31" s="137"/>
      <c r="H31" s="137"/>
      <c r="I31" s="137"/>
    </row>
    <row r="32" spans="1:9">
      <c r="A32" s="37" t="s">
        <v>159</v>
      </c>
      <c r="B32" s="137"/>
      <c r="C32" s="137"/>
      <c r="D32" s="139"/>
      <c r="E32" s="139"/>
      <c r="F32" s="139"/>
      <c r="G32" s="139">
        <v>5288055</v>
      </c>
      <c r="H32" s="139">
        <v>2200000</v>
      </c>
      <c r="I32" s="137"/>
    </row>
    <row r="33" spans="1:9">
      <c r="A33" s="37" t="s">
        <v>160</v>
      </c>
      <c r="B33" s="137">
        <v>-42147</v>
      </c>
      <c r="C33" s="137"/>
      <c r="D33" s="139">
        <v>-4597720</v>
      </c>
      <c r="E33" s="139">
        <v>743502</v>
      </c>
      <c r="F33" s="139">
        <v>-44581</v>
      </c>
      <c r="G33" s="139">
        <v>-39028</v>
      </c>
      <c r="H33" s="139">
        <f>-10000000+667271</f>
        <v>-9332729</v>
      </c>
      <c r="I33" s="137">
        <v>-346147</v>
      </c>
    </row>
    <row r="34" spans="1:9">
      <c r="A34" s="37" t="s">
        <v>161</v>
      </c>
      <c r="B34" s="137"/>
      <c r="C34" s="137"/>
      <c r="D34" s="139"/>
      <c r="E34" s="139">
        <v>-14484825</v>
      </c>
      <c r="F34" s="139">
        <v>3837457</v>
      </c>
      <c r="G34" s="139">
        <v>-19863936</v>
      </c>
      <c r="H34" s="139">
        <v>4326579</v>
      </c>
      <c r="I34" s="137">
        <v>-9936938</v>
      </c>
    </row>
    <row r="35" spans="1:9">
      <c r="B35" s="137"/>
      <c r="C35" s="137"/>
      <c r="D35" s="139"/>
      <c r="E35" s="139"/>
      <c r="F35" s="139"/>
      <c r="G35" s="139"/>
      <c r="H35" s="139"/>
      <c r="I35" s="137"/>
    </row>
    <row r="36" spans="1:9">
      <c r="A36" s="37" t="s">
        <v>157</v>
      </c>
      <c r="B36" s="137">
        <f t="shared" ref="B36:F36" si="1">SUM(B29:B35)</f>
        <v>-2390020</v>
      </c>
      <c r="C36" s="137">
        <f t="shared" si="1"/>
        <v>-4870982</v>
      </c>
      <c r="D36" s="139">
        <f t="shared" si="1"/>
        <v>-6756254</v>
      </c>
      <c r="E36" s="139">
        <f t="shared" si="1"/>
        <v>-15349493</v>
      </c>
      <c r="F36" s="139">
        <f t="shared" si="1"/>
        <v>-1332821</v>
      </c>
      <c r="G36" s="139">
        <f>SUM(G29:G35)</f>
        <v>-22092407</v>
      </c>
      <c r="H36" s="139">
        <f>SUM(H29:H35)</f>
        <v>-3360655</v>
      </c>
      <c r="I36" s="137">
        <f>SUM(I29:I35)</f>
        <v>-11250654</v>
      </c>
    </row>
    <row r="37" spans="1:9">
      <c r="B37" s="137"/>
      <c r="C37" s="137"/>
      <c r="D37" s="139"/>
      <c r="E37" s="139"/>
      <c r="F37" s="139"/>
      <c r="G37" s="139"/>
      <c r="H37" s="139"/>
      <c r="I37" s="137"/>
    </row>
    <row r="38" spans="1:9">
      <c r="A38" s="136" t="s">
        <v>162</v>
      </c>
      <c r="B38" s="137"/>
      <c r="C38" s="137"/>
      <c r="D38" s="139"/>
      <c r="E38" s="139"/>
      <c r="F38" s="139"/>
      <c r="G38" s="139"/>
      <c r="H38" s="139"/>
      <c r="I38" s="137"/>
    </row>
    <row r="39" spans="1:9">
      <c r="A39" s="37" t="s">
        <v>163</v>
      </c>
      <c r="B39" s="137"/>
      <c r="C39" s="137"/>
      <c r="D39" s="139">
        <v>37000000</v>
      </c>
      <c r="E39" s="139"/>
      <c r="F39" s="139"/>
      <c r="G39" s="139"/>
      <c r="H39" s="139">
        <v>10000000</v>
      </c>
      <c r="I39" s="137"/>
    </row>
    <row r="40" spans="1:9">
      <c r="A40" s="37" t="s">
        <v>164</v>
      </c>
      <c r="B40" s="150">
        <v>-23625940</v>
      </c>
      <c r="C40" s="150">
        <v>-20025019</v>
      </c>
      <c r="D40" s="139">
        <v>-26103294</v>
      </c>
      <c r="E40" s="139">
        <v>-8979792</v>
      </c>
      <c r="F40" s="139">
        <v>-12714125</v>
      </c>
      <c r="G40" s="139">
        <v>-21165834</v>
      </c>
      <c r="H40" s="139">
        <v>-9723947</v>
      </c>
      <c r="I40" s="137">
        <v>-10404645</v>
      </c>
    </row>
    <row r="41" spans="1:9">
      <c r="A41" s="37" t="s">
        <v>105</v>
      </c>
      <c r="B41" s="137">
        <v>-326054</v>
      </c>
      <c r="C41" s="137">
        <v>-1249868</v>
      </c>
      <c r="D41" s="139"/>
      <c r="E41" s="139"/>
      <c r="F41" s="139">
        <v>-750000</v>
      </c>
      <c r="G41" s="139">
        <v>-1000000</v>
      </c>
      <c r="H41" s="139">
        <v>-1500000</v>
      </c>
      <c r="I41" s="137">
        <v>-1000000</v>
      </c>
    </row>
    <row r="42" spans="1:9">
      <c r="B42" s="137"/>
      <c r="C42" s="137"/>
      <c r="D42" s="137"/>
      <c r="E42" s="137"/>
      <c r="F42" s="137"/>
      <c r="G42" s="137"/>
      <c r="H42" s="137"/>
      <c r="I42" s="137"/>
    </row>
    <row r="43" spans="1:9">
      <c r="A43" s="37" t="s">
        <v>165</v>
      </c>
      <c r="B43" s="137">
        <f t="shared" ref="B43:F43" si="2">SUM(B39:B42)</f>
        <v>-23951994</v>
      </c>
      <c r="C43" s="137">
        <f t="shared" si="2"/>
        <v>-21274887</v>
      </c>
      <c r="D43" s="137">
        <f t="shared" si="2"/>
        <v>10896706</v>
      </c>
      <c r="E43" s="137">
        <f t="shared" si="2"/>
        <v>-8979792</v>
      </c>
      <c r="F43" s="137">
        <f t="shared" si="2"/>
        <v>-13464125</v>
      </c>
      <c r="G43" s="137">
        <f>SUM(G39:G42)</f>
        <v>-22165834</v>
      </c>
      <c r="H43" s="137">
        <f>SUM(H39:H42)</f>
        <v>-1223947</v>
      </c>
      <c r="I43" s="137">
        <f>SUM(I39:I42)</f>
        <v>-11404645</v>
      </c>
    </row>
    <row r="44" spans="1:9">
      <c r="B44" s="137"/>
      <c r="C44" s="137"/>
      <c r="D44" s="137"/>
      <c r="E44" s="137"/>
      <c r="F44" s="137"/>
      <c r="G44" s="137"/>
      <c r="H44" s="137"/>
      <c r="I44" s="137"/>
    </row>
    <row r="45" spans="1:9">
      <c r="A45" s="109" t="s">
        <v>166</v>
      </c>
      <c r="B45" s="138">
        <f t="shared" ref="B45:F45" si="3">+B43+B36+B26</f>
        <v>-14139323</v>
      </c>
      <c r="C45" s="138">
        <f t="shared" si="3"/>
        <v>-5363367</v>
      </c>
      <c r="D45" s="138">
        <f t="shared" si="3"/>
        <v>9476039</v>
      </c>
      <c r="E45" s="138">
        <f t="shared" si="3"/>
        <v>7574937</v>
      </c>
      <c r="F45" s="138">
        <f t="shared" si="3"/>
        <v>996311</v>
      </c>
      <c r="G45" s="138">
        <f>+G43+G36+G26</f>
        <v>1875491</v>
      </c>
      <c r="H45" s="138">
        <f>+H43+H36+H26</f>
        <v>4485925</v>
      </c>
      <c r="I45" s="138">
        <f>+I43+I36+I26</f>
        <v>-4000378</v>
      </c>
    </row>
    <row r="46" spans="1:9">
      <c r="B46" s="137"/>
      <c r="C46" s="137"/>
      <c r="D46" s="137"/>
      <c r="E46" s="137"/>
      <c r="F46" s="137"/>
      <c r="G46" s="137"/>
      <c r="H46" s="137"/>
      <c r="I46" s="137"/>
    </row>
    <row r="47" spans="1:9">
      <c r="A47" s="37" t="s">
        <v>167</v>
      </c>
      <c r="B47" s="137">
        <v>34036530</v>
      </c>
      <c r="C47" s="137">
        <f>+'Exhibit 1'!B12</f>
        <v>19897207</v>
      </c>
      <c r="D47" s="137">
        <f>+'Exhibit 1'!C12</f>
        <v>14533840</v>
      </c>
      <c r="E47" s="137">
        <f>+'Exhibit 1'!D12</f>
        <v>14533840</v>
      </c>
      <c r="F47" s="137">
        <f>+'Exhibit 1'!E12</f>
        <v>10863863</v>
      </c>
      <c r="G47" s="137">
        <f>+'Exhibit 1'!F12</f>
        <v>11860174</v>
      </c>
      <c r="H47" s="137">
        <f>+'Exhibit 1'!G12</f>
        <v>13735665</v>
      </c>
      <c r="I47" s="137">
        <f>+'Exhibit 1'!H12</f>
        <v>18221590</v>
      </c>
    </row>
    <row r="48" spans="1:9">
      <c r="B48" s="137"/>
      <c r="C48" s="137"/>
      <c r="D48" s="137"/>
      <c r="E48" s="137"/>
      <c r="F48" s="137"/>
      <c r="G48" s="137"/>
      <c r="H48" s="137"/>
      <c r="I48" s="137"/>
    </row>
    <row r="49" spans="1:9">
      <c r="A49" s="37" t="s">
        <v>168</v>
      </c>
      <c r="B49" s="137">
        <f t="shared" ref="B49:G49" si="4">+B47+B45</f>
        <v>19897207</v>
      </c>
      <c r="C49" s="137">
        <f t="shared" si="4"/>
        <v>14533840</v>
      </c>
      <c r="D49" s="137">
        <f t="shared" si="4"/>
        <v>24009879</v>
      </c>
      <c r="E49" s="137">
        <f t="shared" si="4"/>
        <v>22108777</v>
      </c>
      <c r="F49" s="137">
        <f t="shared" si="4"/>
        <v>11860174</v>
      </c>
      <c r="G49" s="137">
        <f t="shared" si="4"/>
        <v>13735665</v>
      </c>
      <c r="H49" s="137">
        <f>+H47+H45</f>
        <v>18221590</v>
      </c>
      <c r="I49" s="137">
        <f>+I47+I45</f>
        <v>14221212</v>
      </c>
    </row>
    <row r="50" spans="1:9">
      <c r="B50" s="137"/>
      <c r="C50" s="137"/>
      <c r="D50" s="137"/>
      <c r="E50" s="137"/>
      <c r="F50" s="137"/>
      <c r="G50" s="137"/>
      <c r="H50" s="137"/>
      <c r="I50" s="137"/>
    </row>
    <row r="51" spans="1:9">
      <c r="B51" s="137"/>
      <c r="C51" s="137"/>
      <c r="D51" s="137"/>
      <c r="E51" s="137"/>
      <c r="F51" s="137"/>
      <c r="G51" s="137"/>
      <c r="H51" s="137"/>
      <c r="I51" s="137"/>
    </row>
    <row r="52" spans="1:9">
      <c r="B52" s="66"/>
      <c r="C52" s="66"/>
      <c r="D52" s="66"/>
      <c r="E52" s="66"/>
      <c r="F52" s="66"/>
      <c r="G52" s="66"/>
      <c r="H52" s="66"/>
      <c r="I52" s="66"/>
    </row>
    <row r="53" spans="1:9">
      <c r="B53" s="66"/>
      <c r="C53" s="66"/>
      <c r="D53" s="66"/>
      <c r="E53" s="66"/>
      <c r="F53" s="66"/>
      <c r="G53" s="66"/>
      <c r="H53" s="66"/>
      <c r="I53" s="66"/>
    </row>
    <row r="54" spans="1:9">
      <c r="B54" s="66"/>
      <c r="C54" s="66"/>
      <c r="D54" s="66"/>
      <c r="E54" s="66"/>
      <c r="F54" s="66"/>
      <c r="G54" s="66"/>
      <c r="H54" s="66"/>
      <c r="I54" s="66"/>
    </row>
    <row r="55" spans="1:9">
      <c r="B55" s="66"/>
      <c r="C55" s="66"/>
      <c r="D55" s="66"/>
      <c r="E55" s="66"/>
      <c r="F55" s="66"/>
      <c r="G55" s="66"/>
      <c r="H55" s="66"/>
      <c r="I55" s="66"/>
    </row>
    <row r="56" spans="1:9">
      <c r="B56" s="66"/>
      <c r="C56" s="66"/>
      <c r="D56" s="66"/>
      <c r="E56" s="66"/>
      <c r="F56" s="66"/>
      <c r="G56" s="66"/>
      <c r="H56" s="66"/>
      <c r="I56" s="66"/>
    </row>
    <row r="57" spans="1:9">
      <c r="B57" s="66"/>
      <c r="C57" s="66"/>
      <c r="D57" s="66"/>
      <c r="E57" s="66"/>
      <c r="F57" s="66"/>
      <c r="G57" s="66"/>
      <c r="H57" s="66"/>
      <c r="I57" s="66"/>
    </row>
    <row r="58" spans="1:9">
      <c r="B58" s="66"/>
      <c r="C58" s="66"/>
      <c r="D58" s="66"/>
      <c r="E58" s="66"/>
      <c r="F58" s="66"/>
      <c r="G58" s="66"/>
      <c r="H58" s="66"/>
      <c r="I58" s="66"/>
    </row>
    <row r="59" spans="1:9">
      <c r="B59" s="66"/>
      <c r="C59" s="66"/>
      <c r="D59" s="66"/>
      <c r="E59" s="66"/>
      <c r="F59" s="66"/>
      <c r="G59" s="66"/>
      <c r="H59" s="66"/>
      <c r="I59" s="66"/>
    </row>
    <row r="60" spans="1:9">
      <c r="B60" s="66"/>
      <c r="C60" s="66"/>
      <c r="D60" s="66"/>
      <c r="E60" s="66"/>
      <c r="F60" s="66"/>
      <c r="G60" s="66"/>
      <c r="H60" s="66"/>
      <c r="I60" s="66"/>
    </row>
    <row r="61" spans="1:9">
      <c r="B61" s="66"/>
      <c r="C61" s="66"/>
      <c r="D61" s="66"/>
      <c r="E61" s="66"/>
      <c r="F61" s="66"/>
      <c r="G61" s="66"/>
      <c r="H61" s="66"/>
      <c r="I61" s="66"/>
    </row>
    <row r="62" spans="1:9">
      <c r="B62" s="66"/>
      <c r="C62" s="66"/>
      <c r="D62" s="66"/>
      <c r="E62" s="66"/>
      <c r="F62" s="66"/>
      <c r="G62" s="66"/>
      <c r="H62" s="66"/>
      <c r="I62" s="66"/>
    </row>
    <row r="63" spans="1:9">
      <c r="B63" s="66"/>
      <c r="C63" s="66"/>
      <c r="D63" s="66"/>
      <c r="E63" s="66"/>
      <c r="F63" s="66"/>
      <c r="G63" s="66"/>
      <c r="H63" s="66"/>
      <c r="I63" s="66"/>
    </row>
    <row r="64" spans="1:9">
      <c r="B64" s="66"/>
      <c r="C64" s="66"/>
      <c r="D64" s="66"/>
      <c r="E64" s="66"/>
      <c r="F64" s="66"/>
      <c r="G64" s="66"/>
      <c r="H64" s="66"/>
      <c r="I64" s="66"/>
    </row>
    <row r="65" spans="2:9">
      <c r="B65" s="66"/>
      <c r="C65" s="66"/>
      <c r="D65" s="66"/>
      <c r="E65" s="66"/>
      <c r="F65" s="66"/>
      <c r="G65" s="66"/>
      <c r="H65" s="66"/>
      <c r="I65" s="66"/>
    </row>
    <row r="66" spans="2:9">
      <c r="B66" s="66"/>
      <c r="C66" s="66"/>
      <c r="D66" s="66"/>
      <c r="E66" s="66"/>
      <c r="F66" s="66"/>
      <c r="G66" s="66"/>
      <c r="H66" s="66"/>
      <c r="I66" s="66"/>
    </row>
    <row r="67" spans="2:9">
      <c r="B67" s="66"/>
      <c r="C67" s="66"/>
      <c r="D67" s="66"/>
      <c r="E67" s="66"/>
      <c r="F67" s="66"/>
      <c r="G67" s="66"/>
      <c r="H67" s="66"/>
      <c r="I67" s="66"/>
    </row>
    <row r="68" spans="2:9">
      <c r="B68" s="66"/>
      <c r="C68" s="66"/>
      <c r="D68" s="66"/>
      <c r="E68" s="66"/>
      <c r="F68" s="66"/>
      <c r="G68" s="66"/>
      <c r="H68" s="66"/>
      <c r="I68" s="66"/>
    </row>
    <row r="69" spans="2:9">
      <c r="B69" s="66"/>
      <c r="C69" s="66"/>
      <c r="D69" s="66"/>
      <c r="E69" s="66"/>
      <c r="F69" s="66"/>
      <c r="G69" s="66"/>
      <c r="H69" s="66"/>
      <c r="I69" s="66"/>
    </row>
    <row r="70" spans="2:9">
      <c r="B70" s="66"/>
      <c r="C70" s="66"/>
      <c r="D70" s="66"/>
      <c r="E70" s="66"/>
      <c r="F70" s="66"/>
      <c r="G70" s="66"/>
      <c r="H70" s="66"/>
      <c r="I70" s="66"/>
    </row>
    <row r="71" spans="2:9">
      <c r="B71" s="66"/>
      <c r="C71" s="66"/>
      <c r="D71" s="66"/>
      <c r="E71" s="66"/>
      <c r="F71" s="66"/>
      <c r="G71" s="66"/>
      <c r="H71" s="66"/>
      <c r="I71" s="66"/>
    </row>
    <row r="72" spans="2:9">
      <c r="B72" s="66"/>
      <c r="C72" s="66"/>
      <c r="D72" s="66"/>
      <c r="E72" s="66"/>
      <c r="F72" s="66"/>
      <c r="G72" s="66"/>
      <c r="H72" s="66"/>
      <c r="I72" s="66"/>
    </row>
    <row r="73" spans="2:9">
      <c r="B73" s="66"/>
      <c r="C73" s="66"/>
      <c r="D73" s="66"/>
      <c r="E73" s="66"/>
      <c r="F73" s="66"/>
      <c r="G73" s="66"/>
      <c r="H73" s="66"/>
      <c r="I73" s="66"/>
    </row>
    <row r="74" spans="2:9">
      <c r="B74" s="66"/>
      <c r="C74" s="66"/>
      <c r="D74" s="66"/>
      <c r="E74" s="66"/>
      <c r="F74" s="66"/>
      <c r="G74" s="66"/>
      <c r="H74" s="66"/>
      <c r="I74" s="66"/>
    </row>
    <row r="75" spans="2:9">
      <c r="B75" s="66"/>
      <c r="C75" s="66"/>
      <c r="D75" s="66"/>
      <c r="E75" s="66"/>
      <c r="F75" s="66"/>
      <c r="G75" s="66"/>
      <c r="H75" s="66"/>
      <c r="I75" s="66"/>
    </row>
    <row r="76" spans="2:9">
      <c r="B76" s="66"/>
      <c r="C76" s="66"/>
      <c r="D76" s="66"/>
      <c r="E76" s="66"/>
      <c r="F76" s="66"/>
      <c r="G76" s="66"/>
      <c r="H76" s="66"/>
      <c r="I76" s="66"/>
    </row>
    <row r="77" spans="2:9">
      <c r="B77" s="66"/>
      <c r="C77" s="66"/>
      <c r="D77" s="66"/>
      <c r="E77" s="66"/>
      <c r="F77" s="66"/>
      <c r="G77" s="66"/>
      <c r="H77" s="66"/>
      <c r="I77" s="66"/>
    </row>
    <row r="78" spans="2:9">
      <c r="B78" s="66"/>
      <c r="C78" s="66"/>
      <c r="D78" s="66"/>
      <c r="E78" s="66"/>
      <c r="F78" s="66"/>
      <c r="G78" s="66"/>
      <c r="H78" s="66"/>
      <c r="I78" s="66"/>
    </row>
    <row r="79" spans="2:9">
      <c r="B79" s="66"/>
      <c r="C79" s="66"/>
      <c r="D79" s="66"/>
      <c r="E79" s="66"/>
      <c r="F79" s="66"/>
      <c r="G79" s="66"/>
      <c r="H79" s="66"/>
      <c r="I79" s="66"/>
    </row>
    <row r="80" spans="2:9">
      <c r="B80" s="66"/>
      <c r="C80" s="66"/>
      <c r="D80" s="66"/>
      <c r="E80" s="66"/>
      <c r="F80" s="66"/>
      <c r="G80" s="66"/>
      <c r="H80" s="66"/>
      <c r="I80" s="66"/>
    </row>
    <row r="81" spans="2:9">
      <c r="B81" s="66"/>
      <c r="C81" s="66"/>
      <c r="D81" s="66"/>
      <c r="E81" s="66"/>
      <c r="F81" s="66"/>
      <c r="G81" s="66"/>
      <c r="H81" s="66"/>
      <c r="I81" s="66"/>
    </row>
    <row r="82" spans="2:9">
      <c r="B82" s="66"/>
      <c r="C82" s="66"/>
      <c r="D82" s="66"/>
      <c r="E82" s="66"/>
      <c r="F82" s="66"/>
      <c r="G82" s="66"/>
      <c r="H82" s="66"/>
      <c r="I82" s="66"/>
    </row>
    <row r="83" spans="2:9">
      <c r="B83" s="66"/>
      <c r="C83" s="66"/>
      <c r="D83" s="66"/>
      <c r="E83" s="66"/>
      <c r="F83" s="66"/>
      <c r="G83" s="66"/>
      <c r="H83" s="66"/>
      <c r="I83" s="66"/>
    </row>
    <row r="84" spans="2:9">
      <c r="B84" s="66"/>
      <c r="C84" s="66"/>
      <c r="D84" s="66"/>
      <c r="E84" s="66"/>
      <c r="F84" s="66"/>
      <c r="G84" s="66"/>
      <c r="H84" s="66"/>
      <c r="I84" s="66"/>
    </row>
    <row r="85" spans="2:9">
      <c r="B85" s="66"/>
      <c r="C85" s="66"/>
      <c r="D85" s="66"/>
      <c r="E85" s="66"/>
      <c r="F85" s="66"/>
      <c r="G85" s="66"/>
      <c r="H85" s="66"/>
      <c r="I85" s="66"/>
    </row>
    <row r="86" spans="2:9">
      <c r="B86" s="66"/>
      <c r="C86" s="66"/>
      <c r="D86" s="66"/>
      <c r="E86" s="66"/>
      <c r="F86" s="66"/>
      <c r="G86" s="66"/>
      <c r="H86" s="66"/>
      <c r="I86" s="66"/>
    </row>
    <row r="87" spans="2:9">
      <c r="B87" s="66"/>
      <c r="C87" s="66"/>
      <c r="D87" s="66"/>
      <c r="E87" s="66"/>
      <c r="F87" s="66"/>
      <c r="G87" s="66"/>
      <c r="H87" s="66"/>
      <c r="I87" s="66"/>
    </row>
    <row r="88" spans="2:9">
      <c r="B88" s="66"/>
      <c r="C88" s="66"/>
      <c r="D88" s="66"/>
      <c r="E88" s="66"/>
      <c r="F88" s="66"/>
      <c r="G88" s="66"/>
      <c r="H88" s="66"/>
      <c r="I88" s="66"/>
    </row>
    <row r="89" spans="2:9">
      <c r="B89" s="66"/>
      <c r="C89" s="66"/>
      <c r="D89" s="66"/>
      <c r="E89" s="66"/>
      <c r="F89" s="66"/>
      <c r="G89" s="66"/>
      <c r="H89" s="66"/>
      <c r="I89" s="66"/>
    </row>
    <row r="90" spans="2:9">
      <c r="B90" s="66"/>
      <c r="C90" s="66"/>
      <c r="D90" s="66"/>
      <c r="E90" s="66"/>
      <c r="F90" s="66"/>
      <c r="G90" s="66"/>
      <c r="H90" s="66"/>
      <c r="I90" s="66"/>
    </row>
    <row r="91" spans="2:9">
      <c r="B91" s="66"/>
      <c r="C91" s="66"/>
      <c r="D91" s="66"/>
      <c r="E91" s="66"/>
      <c r="F91" s="66"/>
      <c r="G91" s="66"/>
      <c r="H91" s="66"/>
      <c r="I91" s="66"/>
    </row>
    <row r="92" spans="2:9">
      <c r="B92" s="66"/>
      <c r="C92" s="66"/>
      <c r="D92" s="66"/>
      <c r="E92" s="66"/>
      <c r="F92" s="66"/>
      <c r="G92" s="66"/>
      <c r="H92" s="66"/>
      <c r="I92" s="66"/>
    </row>
    <row r="93" spans="2:9">
      <c r="B93" s="66"/>
      <c r="C93" s="66"/>
      <c r="D93" s="66"/>
      <c r="E93" s="66"/>
      <c r="F93" s="66"/>
      <c r="G93" s="66"/>
      <c r="H93" s="66"/>
      <c r="I93" s="66"/>
    </row>
    <row r="94" spans="2:9">
      <c r="B94" s="66"/>
      <c r="C94" s="66"/>
      <c r="D94" s="66"/>
      <c r="E94" s="66"/>
      <c r="F94" s="66"/>
      <c r="G94" s="66"/>
      <c r="H94" s="66"/>
      <c r="I94" s="66"/>
    </row>
    <row r="95" spans="2:9">
      <c r="B95" s="66"/>
      <c r="C95" s="66"/>
      <c r="D95" s="66"/>
      <c r="E95" s="66"/>
      <c r="F95" s="66"/>
      <c r="G95" s="66"/>
      <c r="H95" s="66"/>
      <c r="I95" s="66"/>
    </row>
    <row r="96" spans="2:9">
      <c r="B96" s="66"/>
      <c r="C96" s="66"/>
      <c r="D96" s="66"/>
      <c r="E96" s="66"/>
      <c r="F96" s="66"/>
      <c r="G96" s="66"/>
      <c r="H96" s="66"/>
      <c r="I96" s="66"/>
    </row>
    <row r="97" spans="2:9">
      <c r="B97" s="66"/>
      <c r="C97" s="66"/>
      <c r="D97" s="66"/>
      <c r="E97" s="66"/>
      <c r="F97" s="66"/>
      <c r="G97" s="66"/>
      <c r="H97" s="66"/>
      <c r="I97" s="66"/>
    </row>
    <row r="98" spans="2:9">
      <c r="B98" s="66"/>
      <c r="C98" s="66"/>
      <c r="D98" s="66"/>
      <c r="E98" s="66"/>
      <c r="F98" s="66"/>
      <c r="G98" s="66"/>
      <c r="H98" s="66"/>
      <c r="I98" s="66"/>
    </row>
    <row r="99" spans="2:9">
      <c r="B99" s="66"/>
      <c r="C99" s="66"/>
      <c r="D99" s="66"/>
      <c r="E99" s="66"/>
      <c r="F99" s="66"/>
      <c r="G99" s="66"/>
      <c r="H99" s="66"/>
      <c r="I99" s="66"/>
    </row>
    <row r="100" spans="2:9">
      <c r="B100" s="66"/>
      <c r="C100" s="66"/>
      <c r="D100" s="66"/>
      <c r="E100" s="66"/>
      <c r="F100" s="66"/>
      <c r="G100" s="66"/>
      <c r="H100" s="66"/>
      <c r="I100" s="66"/>
    </row>
    <row r="101" spans="2:9">
      <c r="B101" s="66"/>
      <c r="C101" s="66"/>
      <c r="D101" s="66"/>
      <c r="E101" s="66"/>
      <c r="F101" s="66"/>
      <c r="G101" s="66"/>
      <c r="H101" s="66"/>
      <c r="I101" s="66"/>
    </row>
    <row r="102" spans="2:9">
      <c r="B102" s="66"/>
      <c r="C102" s="66"/>
      <c r="D102" s="66"/>
      <c r="E102" s="66"/>
      <c r="F102" s="66"/>
      <c r="G102" s="66"/>
      <c r="H102" s="66"/>
      <c r="I102" s="66"/>
    </row>
    <row r="103" spans="2:9">
      <c r="B103" s="66"/>
      <c r="C103" s="66"/>
      <c r="D103" s="66"/>
      <c r="E103" s="66"/>
      <c r="F103" s="66"/>
      <c r="G103" s="66"/>
      <c r="H103" s="66"/>
      <c r="I103" s="66"/>
    </row>
    <row r="104" spans="2:9">
      <c r="B104" s="66"/>
      <c r="C104" s="66"/>
      <c r="D104" s="66"/>
      <c r="E104" s="66"/>
      <c r="F104" s="66"/>
      <c r="G104" s="66"/>
      <c r="H104" s="66"/>
      <c r="I104" s="66"/>
    </row>
    <row r="105" spans="2:9">
      <c r="B105" s="66"/>
      <c r="C105" s="66"/>
      <c r="D105" s="66"/>
      <c r="E105" s="66"/>
      <c r="F105" s="66"/>
      <c r="G105" s="66"/>
      <c r="H105" s="66"/>
      <c r="I105" s="66"/>
    </row>
    <row r="106" spans="2:9">
      <c r="B106" s="66"/>
      <c r="C106" s="66"/>
      <c r="D106" s="66"/>
      <c r="E106" s="66"/>
      <c r="F106" s="66"/>
      <c r="G106" s="66"/>
      <c r="H106" s="66"/>
      <c r="I106" s="66"/>
    </row>
    <row r="107" spans="2:9">
      <c r="B107" s="66"/>
      <c r="C107" s="66"/>
      <c r="D107" s="66"/>
      <c r="E107" s="66"/>
      <c r="F107" s="66"/>
      <c r="G107" s="66"/>
      <c r="H107" s="66"/>
      <c r="I107" s="66"/>
    </row>
    <row r="108" spans="2:9">
      <c r="B108" s="66"/>
      <c r="C108" s="66"/>
      <c r="D108" s="66"/>
      <c r="E108" s="66"/>
      <c r="F108" s="66"/>
      <c r="G108" s="66"/>
      <c r="H108" s="66"/>
      <c r="I108" s="66"/>
    </row>
    <row r="109" spans="2:9">
      <c r="B109" s="66"/>
      <c r="C109" s="66"/>
      <c r="D109" s="66"/>
      <c r="E109" s="66"/>
      <c r="F109" s="66"/>
      <c r="G109" s="66"/>
      <c r="H109" s="66"/>
      <c r="I109" s="66"/>
    </row>
    <row r="110" spans="2:9">
      <c r="B110" s="66"/>
      <c r="C110" s="66"/>
      <c r="D110" s="66"/>
      <c r="E110" s="66"/>
      <c r="F110" s="66"/>
      <c r="G110" s="66"/>
      <c r="H110" s="66"/>
      <c r="I110" s="66"/>
    </row>
    <row r="111" spans="2:9">
      <c r="B111" s="66"/>
      <c r="C111" s="66"/>
      <c r="D111" s="66"/>
      <c r="E111" s="66"/>
      <c r="F111" s="66"/>
      <c r="G111" s="66"/>
      <c r="H111" s="66"/>
      <c r="I111" s="66"/>
    </row>
    <row r="112" spans="2:9">
      <c r="B112" s="66"/>
      <c r="C112" s="66"/>
      <c r="D112" s="66"/>
      <c r="E112" s="66"/>
      <c r="F112" s="66"/>
      <c r="G112" s="66"/>
      <c r="H112" s="66"/>
      <c r="I112" s="66"/>
    </row>
    <row r="113" spans="2:9">
      <c r="B113" s="66"/>
      <c r="C113" s="66"/>
      <c r="D113" s="66"/>
      <c r="E113" s="66"/>
      <c r="F113" s="66"/>
      <c r="G113" s="66"/>
      <c r="H113" s="66"/>
      <c r="I113" s="66"/>
    </row>
    <row r="114" spans="2:9">
      <c r="B114" s="66"/>
      <c r="C114" s="66"/>
      <c r="D114" s="66"/>
      <c r="E114" s="66"/>
      <c r="F114" s="66"/>
      <c r="G114" s="66"/>
      <c r="H114" s="66"/>
      <c r="I114" s="66"/>
    </row>
    <row r="115" spans="2:9">
      <c r="B115" s="66"/>
      <c r="C115" s="66"/>
      <c r="D115" s="66"/>
      <c r="E115" s="66"/>
      <c r="F115" s="66"/>
      <c r="G115" s="66"/>
      <c r="H115" s="66"/>
      <c r="I115" s="66"/>
    </row>
    <row r="116" spans="2:9">
      <c r="B116" s="66"/>
      <c r="C116" s="66"/>
      <c r="D116" s="66"/>
      <c r="E116" s="66"/>
      <c r="F116" s="66"/>
      <c r="G116" s="66"/>
      <c r="H116" s="66"/>
      <c r="I116" s="66"/>
    </row>
    <row r="117" spans="2:9">
      <c r="B117" s="66"/>
      <c r="C117" s="66"/>
      <c r="D117" s="66"/>
      <c r="E117" s="66"/>
      <c r="F117" s="66"/>
      <c r="G117" s="66"/>
      <c r="H117" s="66"/>
      <c r="I117" s="66"/>
    </row>
    <row r="118" spans="2:9">
      <c r="B118" s="66"/>
      <c r="C118" s="66"/>
      <c r="D118" s="66"/>
      <c r="E118" s="66"/>
      <c r="F118" s="66"/>
      <c r="G118" s="66"/>
      <c r="H118" s="66"/>
      <c r="I118" s="66"/>
    </row>
    <row r="119" spans="2:9">
      <c r="B119" s="66"/>
      <c r="C119" s="66"/>
      <c r="D119" s="66"/>
      <c r="E119" s="66"/>
      <c r="F119" s="66"/>
      <c r="G119" s="66"/>
      <c r="H119" s="66"/>
      <c r="I119" s="66"/>
    </row>
    <row r="120" spans="2:9">
      <c r="B120" s="66"/>
      <c r="C120" s="66"/>
      <c r="D120" s="66"/>
      <c r="E120" s="66"/>
      <c r="F120" s="66"/>
      <c r="G120" s="66"/>
      <c r="H120" s="66"/>
      <c r="I120" s="66"/>
    </row>
    <row r="121" spans="2:9">
      <c r="B121" s="66"/>
      <c r="C121" s="66"/>
      <c r="D121" s="66"/>
      <c r="E121" s="66"/>
      <c r="F121" s="66"/>
      <c r="G121" s="66"/>
      <c r="H121" s="66"/>
      <c r="I121" s="66"/>
    </row>
    <row r="122" spans="2:9">
      <c r="B122" s="66"/>
      <c r="C122" s="66"/>
      <c r="D122" s="66"/>
      <c r="E122" s="66"/>
      <c r="F122" s="66"/>
      <c r="G122" s="66"/>
      <c r="H122" s="66"/>
      <c r="I122" s="66"/>
    </row>
    <row r="123" spans="2:9">
      <c r="B123" s="66"/>
      <c r="C123" s="66"/>
      <c r="D123" s="66"/>
      <c r="E123" s="66"/>
      <c r="F123" s="66"/>
      <c r="G123" s="66"/>
      <c r="H123" s="66"/>
      <c r="I123" s="66"/>
    </row>
    <row r="124" spans="2:9">
      <c r="B124" s="66"/>
      <c r="C124" s="66"/>
      <c r="D124" s="66"/>
      <c r="E124" s="66"/>
      <c r="F124" s="66"/>
      <c r="G124" s="66"/>
      <c r="H124" s="66"/>
      <c r="I124" s="66"/>
    </row>
    <row r="125" spans="2:9">
      <c r="B125" s="66"/>
      <c r="C125" s="66"/>
      <c r="D125" s="66"/>
      <c r="E125" s="66"/>
      <c r="F125" s="66"/>
      <c r="G125" s="66"/>
      <c r="H125" s="66"/>
      <c r="I125" s="66"/>
    </row>
    <row r="126" spans="2:9">
      <c r="B126" s="66"/>
      <c r="C126" s="66"/>
      <c r="D126" s="66"/>
      <c r="E126" s="66"/>
      <c r="F126" s="66"/>
      <c r="G126" s="66"/>
      <c r="H126" s="66"/>
      <c r="I126" s="66"/>
    </row>
    <row r="127" spans="2:9">
      <c r="B127" s="66"/>
      <c r="C127" s="66"/>
      <c r="D127" s="66"/>
      <c r="E127" s="66"/>
      <c r="F127" s="66"/>
      <c r="G127" s="66"/>
      <c r="H127" s="66"/>
      <c r="I127" s="66"/>
    </row>
    <row r="128" spans="2:9">
      <c r="B128" s="66"/>
      <c r="C128" s="66"/>
      <c r="D128" s="66"/>
      <c r="E128" s="66"/>
      <c r="F128" s="66"/>
      <c r="G128" s="66"/>
      <c r="H128" s="66"/>
      <c r="I128" s="66"/>
    </row>
    <row r="129" spans="2:9">
      <c r="B129" s="66"/>
      <c r="C129" s="66"/>
      <c r="D129" s="66"/>
      <c r="E129" s="66"/>
      <c r="F129" s="66"/>
      <c r="G129" s="66"/>
      <c r="H129" s="66"/>
      <c r="I129" s="66"/>
    </row>
    <row r="130" spans="2:9">
      <c r="B130" s="66"/>
      <c r="C130" s="66"/>
      <c r="D130" s="66"/>
      <c r="E130" s="66"/>
      <c r="F130" s="66"/>
      <c r="G130" s="66"/>
      <c r="H130" s="66"/>
      <c r="I130" s="66"/>
    </row>
    <row r="131" spans="2:9">
      <c r="B131" s="66"/>
      <c r="C131" s="66"/>
      <c r="D131" s="66"/>
      <c r="E131" s="66"/>
      <c r="F131" s="66"/>
      <c r="G131" s="66"/>
      <c r="H131" s="66"/>
      <c r="I131" s="66"/>
    </row>
    <row r="132" spans="2:9">
      <c r="B132" s="66"/>
      <c r="C132" s="66"/>
      <c r="D132" s="66"/>
      <c r="E132" s="66"/>
      <c r="F132" s="66"/>
      <c r="G132" s="66"/>
      <c r="H132" s="66"/>
      <c r="I132" s="66"/>
    </row>
    <row r="133" spans="2:9">
      <c r="B133" s="66"/>
      <c r="C133" s="66"/>
      <c r="D133" s="66"/>
      <c r="E133" s="66"/>
      <c r="F133" s="66"/>
      <c r="G133" s="66"/>
      <c r="H133" s="66"/>
      <c r="I133" s="66"/>
    </row>
    <row r="134" spans="2:9">
      <c r="B134" s="66"/>
      <c r="C134" s="66"/>
      <c r="D134" s="66"/>
      <c r="E134" s="66"/>
      <c r="F134" s="66"/>
      <c r="G134" s="66"/>
      <c r="H134" s="66"/>
      <c r="I134" s="66"/>
    </row>
    <row r="135" spans="2:9">
      <c r="B135" s="66"/>
      <c r="C135" s="66"/>
      <c r="D135" s="66"/>
      <c r="E135" s="66"/>
      <c r="F135" s="66"/>
      <c r="G135" s="66"/>
      <c r="H135" s="66"/>
      <c r="I135" s="66"/>
    </row>
    <row r="136" spans="2:9">
      <c r="B136" s="66"/>
      <c r="C136" s="66"/>
      <c r="D136" s="66"/>
      <c r="E136" s="66"/>
      <c r="F136" s="66"/>
      <c r="G136" s="66"/>
      <c r="H136" s="66"/>
      <c r="I136" s="66"/>
    </row>
    <row r="137" spans="2:9">
      <c r="B137" s="66"/>
      <c r="C137" s="66"/>
      <c r="D137" s="66"/>
      <c r="E137" s="66"/>
      <c r="F137" s="66"/>
      <c r="G137" s="66"/>
      <c r="H137" s="66"/>
      <c r="I137" s="66"/>
    </row>
    <row r="138" spans="2:9">
      <c r="B138" s="66"/>
      <c r="C138" s="66"/>
      <c r="D138" s="66"/>
      <c r="E138" s="66"/>
      <c r="F138" s="66"/>
      <c r="G138" s="66"/>
      <c r="H138" s="66"/>
      <c r="I138" s="66"/>
    </row>
    <row r="139" spans="2:9">
      <c r="B139" s="66"/>
      <c r="C139" s="66"/>
      <c r="D139" s="66"/>
      <c r="E139" s="66"/>
      <c r="F139" s="66"/>
      <c r="G139" s="66"/>
      <c r="H139" s="66"/>
      <c r="I139" s="66"/>
    </row>
    <row r="140" spans="2:9">
      <c r="B140" s="66"/>
      <c r="C140" s="66"/>
      <c r="D140" s="66"/>
      <c r="E140" s="66"/>
      <c r="F140" s="66"/>
      <c r="G140" s="66"/>
      <c r="H140" s="66"/>
      <c r="I140" s="66"/>
    </row>
    <row r="141" spans="2:9">
      <c r="B141" s="66"/>
      <c r="C141" s="66"/>
      <c r="D141" s="66"/>
      <c r="E141" s="66"/>
      <c r="F141" s="66"/>
      <c r="G141" s="66"/>
      <c r="H141" s="66"/>
      <c r="I141" s="66"/>
    </row>
    <row r="142" spans="2:9">
      <c r="B142" s="66"/>
      <c r="C142" s="66"/>
      <c r="D142" s="66"/>
      <c r="E142" s="66"/>
      <c r="F142" s="66"/>
      <c r="G142" s="66"/>
      <c r="H142" s="66"/>
      <c r="I142" s="66"/>
    </row>
  </sheetData>
  <mergeCells count="3">
    <mergeCell ref="A3:I3"/>
    <mergeCell ref="A4:I4"/>
    <mergeCell ref="A5:I5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U321"/>
  <sheetViews>
    <sheetView showGridLines="0" tabSelected="1" zoomScaleNormal="100" workbookViewId="0">
      <selection activeCell="D48" sqref="D48"/>
    </sheetView>
  </sheetViews>
  <sheetFormatPr defaultColWidth="13.7109375" defaultRowHeight="15" customHeight="1"/>
  <cols>
    <col min="1" max="1" width="33.42578125" customWidth="1"/>
    <col min="2" max="2" width="12.28515625" style="66" customWidth="1"/>
    <col min="3" max="7" width="12.28515625" customWidth="1"/>
    <col min="8" max="8" width="10.140625" style="67" customWidth="1"/>
    <col min="9" max="15" width="13.7109375" customWidth="1"/>
    <col min="16" max="23" width="12.7109375" customWidth="1"/>
  </cols>
  <sheetData>
    <row r="2" spans="1:9" ht="15" customHeight="1">
      <c r="H2" s="73" t="s">
        <v>127</v>
      </c>
    </row>
    <row r="3" spans="1:9" s="11" customFormat="1" ht="15" customHeight="1">
      <c r="B3" s="66" t="s">
        <v>95</v>
      </c>
      <c r="H3" s="73" t="s">
        <v>104</v>
      </c>
    </row>
    <row r="4" spans="1:9" s="11" customFormat="1" ht="15" customHeight="1">
      <c r="A4" s="269" t="str">
        <f>Assumptions!$D$3</f>
        <v>Deseret Generation &amp; Transmission</v>
      </c>
      <c r="B4" s="269"/>
      <c r="C4" s="269"/>
      <c r="D4" s="269"/>
      <c r="E4" s="269"/>
      <c r="F4" s="269"/>
      <c r="G4" s="269"/>
      <c r="H4" s="269"/>
    </row>
    <row r="5" spans="1:9" s="11" customFormat="1" ht="15" customHeight="1">
      <c r="A5" s="273" t="s">
        <v>121</v>
      </c>
      <c r="B5" s="273"/>
      <c r="C5" s="273"/>
      <c r="D5" s="273"/>
      <c r="E5" s="273"/>
      <c r="F5" s="273"/>
      <c r="G5" s="273"/>
      <c r="H5" s="273"/>
    </row>
    <row r="6" spans="1:9" s="11" customFormat="1" ht="15" customHeight="1">
      <c r="A6" s="274">
        <f ca="1">NOW()</f>
        <v>40805.393413541664</v>
      </c>
      <c r="B6" s="274"/>
      <c r="C6" s="274"/>
      <c r="D6" s="274"/>
      <c r="E6" s="274"/>
      <c r="F6" s="274"/>
      <c r="G6" s="274"/>
      <c r="H6" s="274"/>
    </row>
    <row r="7" spans="1:9" s="11" customFormat="1" ht="15" customHeight="1">
      <c r="B7" s="66"/>
      <c r="C7" s="39"/>
      <c r="D7" s="39"/>
      <c r="E7" s="39"/>
      <c r="F7" s="39"/>
      <c r="G7" s="39"/>
      <c r="H7" s="75"/>
    </row>
    <row r="8" spans="1:9" s="11" customFormat="1" ht="15" customHeight="1">
      <c r="B8" s="66"/>
      <c r="H8" s="67"/>
    </row>
    <row r="9" spans="1:9" s="11" customFormat="1" ht="15" customHeight="1">
      <c r="B9" s="158" t="s">
        <v>16</v>
      </c>
      <c r="C9" s="91" t="s">
        <v>57</v>
      </c>
      <c r="D9" s="91" t="s">
        <v>57</v>
      </c>
      <c r="E9" s="91" t="s">
        <v>57</v>
      </c>
      <c r="F9" s="91" t="s">
        <v>57</v>
      </c>
      <c r="G9" s="91" t="s">
        <v>57</v>
      </c>
      <c r="H9" s="213" t="s">
        <v>4</v>
      </c>
    </row>
    <row r="10" spans="1:9" s="11" customFormat="1" ht="15" customHeight="1">
      <c r="A10" s="108" t="s">
        <v>0</v>
      </c>
      <c r="B10" s="230">
        <f>'Exhibit 1'!I9</f>
        <v>2010</v>
      </c>
      <c r="C10" s="163">
        <f>B10+1</f>
        <v>2011</v>
      </c>
      <c r="D10" s="163">
        <f t="shared" ref="D10:G10" si="0">C10+1</f>
        <v>2012</v>
      </c>
      <c r="E10" s="163">
        <f t="shared" si="0"/>
        <v>2013</v>
      </c>
      <c r="F10" s="163">
        <f t="shared" si="0"/>
        <v>2014</v>
      </c>
      <c r="G10" s="163">
        <f t="shared" si="0"/>
        <v>2015</v>
      </c>
      <c r="H10" s="214" t="s">
        <v>30</v>
      </c>
    </row>
    <row r="11" spans="1:9" s="11" customFormat="1" ht="15" customHeight="1">
      <c r="A11" s="73"/>
      <c r="B11" s="159"/>
      <c r="C11" s="102"/>
      <c r="D11" s="92"/>
      <c r="E11" s="92"/>
      <c r="F11" s="92"/>
      <c r="G11" s="92"/>
      <c r="H11" s="89"/>
      <c r="I11" s="40"/>
    </row>
    <row r="12" spans="1:9" s="11" customFormat="1" ht="15" customHeight="1">
      <c r="A12" s="78" t="s">
        <v>7</v>
      </c>
      <c r="B12" s="159"/>
      <c r="H12" s="67"/>
    </row>
    <row r="13" spans="1:9" s="11" customFormat="1" ht="15" customHeight="1">
      <c r="A13" s="37" t="s">
        <v>169</v>
      </c>
      <c r="B13" s="159">
        <f>'Exhibit 1'!I12</f>
        <v>14221212</v>
      </c>
      <c r="C13" s="66">
        <f>C$76*Assumptions!$D$36</f>
        <v>17849506.454204023</v>
      </c>
      <c r="D13" s="66">
        <f>D$76*Assumptions!$D$36</f>
        <v>16987220.028089922</v>
      </c>
      <c r="E13" s="66">
        <f>E$76*Assumptions!$D$36</f>
        <v>17649310.269448355</v>
      </c>
      <c r="F13" s="66">
        <f>F$76*Assumptions!$D$36</f>
        <v>17937599.926645398</v>
      </c>
      <c r="G13" s="66">
        <f>G$76*Assumptions!$D$36</f>
        <v>18230598.602222078</v>
      </c>
      <c r="H13" s="67">
        <f>RATE(5,,-B13,G13)</f>
        <v>5.0927759259660851E-2</v>
      </c>
    </row>
    <row r="14" spans="1:9" s="47" customFormat="1" ht="15" customHeight="1">
      <c r="A14" s="37" t="s">
        <v>170</v>
      </c>
      <c r="B14" s="159">
        <f>'Exhibit 1'!I13</f>
        <v>56842615</v>
      </c>
      <c r="C14" s="66">
        <f>B14</f>
        <v>56842615</v>
      </c>
      <c r="D14" s="66">
        <f t="shared" ref="D14:G14" si="1">C14</f>
        <v>56842615</v>
      </c>
      <c r="E14" s="66">
        <f t="shared" si="1"/>
        <v>56842615</v>
      </c>
      <c r="F14" s="66">
        <f t="shared" si="1"/>
        <v>56842615</v>
      </c>
      <c r="G14" s="66">
        <f t="shared" si="1"/>
        <v>56842615</v>
      </c>
      <c r="H14" s="67">
        <f t="shared" ref="H14:H20" si="2">RATE(5,,-B14,G14)</f>
        <v>1.4148219379438278E-16</v>
      </c>
    </row>
    <row r="15" spans="1:9" s="47" customFormat="1" ht="15" customHeight="1">
      <c r="A15" s="37" t="s">
        <v>42</v>
      </c>
      <c r="B15" s="159"/>
      <c r="C15" s="66">
        <f ca="1">J50</f>
        <v>0</v>
      </c>
      <c r="D15" s="66">
        <f ca="1">K50</f>
        <v>0</v>
      </c>
      <c r="E15" s="66">
        <f ca="1">L50</f>
        <v>0</v>
      </c>
      <c r="F15" s="66">
        <f ca="1">M50</f>
        <v>0</v>
      </c>
      <c r="G15" s="66">
        <f ca="1">N50</f>
        <v>0</v>
      </c>
      <c r="H15" s="67"/>
    </row>
    <row r="16" spans="1:9" s="11" customFormat="1" ht="15" customHeight="1">
      <c r="A16" s="79" t="s">
        <v>85</v>
      </c>
      <c r="B16" s="159">
        <f>'Exhibit 1'!I14</f>
        <v>31822461</v>
      </c>
      <c r="C16" s="66">
        <f ca="1">C76*Assumptions!$D$38-1700000</f>
        <v>29025617.297574699</v>
      </c>
      <c r="D16" s="66">
        <f ca="1">D76*Assumptions!$D$38-2000000</f>
        <v>27241302.714555223</v>
      </c>
      <c r="E16" s="66">
        <f ca="1">E76*Assumptions!$D$38-2000000</f>
        <v>28381005.452254545</v>
      </c>
      <c r="F16" s="66">
        <f ca="1">F76*Assumptions!$D$38-2000000</f>
        <v>28877258.81929367</v>
      </c>
      <c r="G16" s="66">
        <f ca="1">G76*Assumptions!$D$38-2000000</f>
        <v>29381618.15256504</v>
      </c>
      <c r="H16" s="67">
        <f t="shared" ca="1" si="2"/>
        <v>-1.5833927262189788E-2</v>
      </c>
    </row>
    <row r="17" spans="1:9" s="11" customFormat="1" ht="15" customHeight="1">
      <c r="A17" s="80" t="s">
        <v>129</v>
      </c>
      <c r="B17" s="159">
        <f>'Exhibit 1'!I15</f>
        <v>23089591</v>
      </c>
      <c r="C17" s="66">
        <f ca="1">C38*Assumptions!$D$39</f>
        <v>22888529.378606424</v>
      </c>
      <c r="D17" s="66">
        <f ca="1">D38*Assumptions!$D$39</f>
        <v>22817835.519587141</v>
      </c>
      <c r="E17" s="66">
        <f ca="1">E38*Assumptions!$D$39</f>
        <v>22370398.676281128</v>
      </c>
      <c r="F17" s="66">
        <f ca="1">F38*Assumptions!$D$39</f>
        <v>21846104.389828008</v>
      </c>
      <c r="G17" s="66">
        <f ca="1">G38*Assumptions!$D$39</f>
        <v>21122058.203834433</v>
      </c>
      <c r="H17" s="67">
        <f t="shared" ca="1" si="2"/>
        <v>-1.7655090473622365E-2</v>
      </c>
    </row>
    <row r="18" spans="1:9" s="11" customFormat="1" ht="15" customHeight="1">
      <c r="A18" s="105" t="s">
        <v>83</v>
      </c>
      <c r="B18" s="159">
        <f>'Exhibit 1'!I16</f>
        <v>17630718</v>
      </c>
      <c r="C18" s="66">
        <f ca="1">C38*Assumptions!$D$40</f>
        <v>17386236.319308329</v>
      </c>
      <c r="D18" s="66">
        <f ca="1">D38*Assumptions!$D$40</f>
        <v>17332536.926092532</v>
      </c>
      <c r="E18" s="66">
        <f ca="1">E38*Assumptions!$D$40</f>
        <v>16992661.761244465</v>
      </c>
      <c r="F18" s="66">
        <f ca="1">F38*Assumptions!$D$40</f>
        <v>16594405.315216212</v>
      </c>
      <c r="G18" s="66">
        <f ca="1">G38*Assumptions!$D$40</f>
        <v>16044416.371516561</v>
      </c>
      <c r="H18" s="67">
        <f t="shared" ca="1" si="2"/>
        <v>-1.8679695386622262E-2</v>
      </c>
    </row>
    <row r="19" spans="1:9" s="11" customFormat="1" ht="15" customHeight="1">
      <c r="A19" s="37" t="s">
        <v>29</v>
      </c>
      <c r="B19" s="157">
        <f>'Exhibit 1'!I17</f>
        <v>1758984</v>
      </c>
      <c r="C19" s="165">
        <f ca="1">C38*Assumptions!$D$41</f>
        <v>2826094.2301209285</v>
      </c>
      <c r="D19" s="164">
        <f ca="1">D38*Assumptions!$D$41</f>
        <v>2817365.5126146777</v>
      </c>
      <c r="E19" s="164">
        <f ca="1">E38*Assumptions!$D$41</f>
        <v>2762119.5568656572</v>
      </c>
      <c r="F19" s="164">
        <f ca="1">F38*Assumptions!$D$41</f>
        <v>2697383.8530849041</v>
      </c>
      <c r="G19" s="164">
        <f ca="1">G38*Assumptions!$D$41</f>
        <v>2607984.3676601183</v>
      </c>
      <c r="H19" s="68">
        <f t="shared" ca="1" si="2"/>
        <v>8.1953556859362467E-2</v>
      </c>
    </row>
    <row r="20" spans="1:9" s="11" customFormat="1" ht="15" customHeight="1">
      <c r="A20" s="37" t="s">
        <v>45</v>
      </c>
      <c r="B20" s="159">
        <f>SUM(B12:B19)</f>
        <v>145365581</v>
      </c>
      <c r="C20" s="66">
        <f ca="1">SUM(C13:C19)</f>
        <v>146818598.6798144</v>
      </c>
      <c r="D20" s="66">
        <f ca="1">SUM(D13:D19)</f>
        <v>144038875.70093948</v>
      </c>
      <c r="E20" s="66">
        <f ca="1">SUM(E13:E19)</f>
        <v>144998110.71609417</v>
      </c>
      <c r="F20" s="66">
        <f ca="1">SUM(F13:F19)</f>
        <v>144795367.30406818</v>
      </c>
      <c r="G20" s="66">
        <f ca="1">SUM(G13:G19)</f>
        <v>144229290.69779822</v>
      </c>
      <c r="H20" s="67">
        <f t="shared" ca="1" si="2"/>
        <v>-1.5682665735045694E-3</v>
      </c>
    </row>
    <row r="21" spans="1:9" s="11" customFormat="1" ht="15" customHeight="1">
      <c r="A21" s="37"/>
      <c r="B21" s="159"/>
      <c r="H21" s="67"/>
    </row>
    <row r="22" spans="1:9" s="11" customFormat="1" ht="15" customHeight="1">
      <c r="A22" s="78" t="s">
        <v>31</v>
      </c>
      <c r="B22" s="159"/>
      <c r="H22" s="67"/>
      <c r="I22" s="48"/>
    </row>
    <row r="23" spans="1:9" s="11" customFormat="1" ht="15" customHeight="1">
      <c r="A23" s="155" t="s">
        <v>89</v>
      </c>
      <c r="B23" s="159">
        <f>'Exhibit 1'!I21</f>
        <v>447808466</v>
      </c>
      <c r="C23" s="66">
        <f>466260208+10000000</f>
        <v>476260208</v>
      </c>
      <c r="D23" s="66">
        <f>C26+20000000</f>
        <v>496260208</v>
      </c>
      <c r="E23" s="66">
        <f>D26+10000000</f>
        <v>506260208</v>
      </c>
      <c r="F23" s="66">
        <f>E26+10000000</f>
        <v>516260208</v>
      </c>
      <c r="G23" s="66">
        <f>F26+5000000</f>
        <v>521260208</v>
      </c>
      <c r="H23" s="67">
        <f t="shared" ref="H23" si="3">RATE(5,,-B23,G23)</f>
        <v>3.0842830194061043E-2</v>
      </c>
    </row>
    <row r="24" spans="1:9" s="11" customFormat="1" ht="15" customHeight="1">
      <c r="A24" s="155" t="s">
        <v>119</v>
      </c>
      <c r="B24" s="159">
        <f>'Exhibit 1'!I22</f>
        <v>18205721</v>
      </c>
      <c r="C24" s="66"/>
      <c r="D24" s="66"/>
      <c r="E24" s="66"/>
      <c r="F24" s="66"/>
      <c r="G24" s="66"/>
      <c r="H24" s="67"/>
    </row>
    <row r="25" spans="1:9" s="11" customFormat="1" ht="15" customHeight="1">
      <c r="A25" s="155" t="s">
        <v>64</v>
      </c>
      <c r="B25" s="157"/>
      <c r="C25" s="38"/>
      <c r="D25" s="38"/>
      <c r="E25" s="38"/>
      <c r="F25" s="38"/>
      <c r="G25" s="38"/>
      <c r="H25" s="68"/>
    </row>
    <row r="26" spans="1:9" s="11" customFormat="1" ht="15" customHeight="1">
      <c r="A26" s="155" t="s">
        <v>70</v>
      </c>
      <c r="B26" s="159">
        <f>SUM(B22:B25)</f>
        <v>466014187</v>
      </c>
      <c r="C26" s="66">
        <f>SUM(C23:C25)</f>
        <v>476260208</v>
      </c>
      <c r="D26" s="66">
        <f>SUM(D23:D25)</f>
        <v>496260208</v>
      </c>
      <c r="E26" s="66">
        <f t="shared" ref="E26:G26" si="4">SUM(E23:E25)</f>
        <v>506260208</v>
      </c>
      <c r="F26" s="66">
        <f t="shared" si="4"/>
        <v>516260208</v>
      </c>
      <c r="G26" s="66">
        <f t="shared" si="4"/>
        <v>521260208</v>
      </c>
      <c r="H26" s="67">
        <f t="shared" ref="H26" si="5">RATE(5,,-B26,G26)</f>
        <v>2.2659570317611975E-2</v>
      </c>
    </row>
    <row r="27" spans="1:9" s="11" customFormat="1" ht="15" customHeight="1">
      <c r="A27" s="155"/>
      <c r="B27" s="159"/>
      <c r="C27" s="66"/>
      <c r="D27" s="66"/>
      <c r="E27" s="66"/>
      <c r="F27" s="66"/>
      <c r="G27" s="66"/>
      <c r="H27" s="94"/>
    </row>
    <row r="28" spans="1:9" s="11" customFormat="1" ht="15" customHeight="1">
      <c r="A28" s="155" t="s">
        <v>65</v>
      </c>
      <c r="B28" s="159">
        <f>'Exhibit 1'!I26</f>
        <v>264120602</v>
      </c>
      <c r="C28" s="66">
        <f>B28+C85-4000000</f>
        <v>273553203.26637274</v>
      </c>
      <c r="D28" s="66">
        <f>C28+D85-4000000</f>
        <v>282336893.04776335</v>
      </c>
      <c r="E28" s="66">
        <f>D28+E85-4000000</f>
        <v>291618837.1779418</v>
      </c>
      <c r="F28" s="66">
        <f>E28+F85-4000000</f>
        <v>301117732.96581918</v>
      </c>
      <c r="G28" s="66">
        <f>F28+G85-6000000</f>
        <v>308837124.17135388</v>
      </c>
      <c r="H28" s="67">
        <f t="shared" ref="H28" si="6">RATE(5,,-B28,G28)</f>
        <v>3.1776053841265681E-2</v>
      </c>
    </row>
    <row r="29" spans="1:9" s="11" customFormat="1" ht="15" customHeight="1">
      <c r="A29" s="37"/>
      <c r="B29" s="159"/>
      <c r="C29" s="66"/>
      <c r="D29" s="66"/>
      <c r="E29" s="66"/>
      <c r="F29" s="66"/>
      <c r="G29" s="66"/>
      <c r="H29" s="94"/>
    </row>
    <row r="30" spans="1:9" s="11" customFormat="1" ht="15" customHeight="1">
      <c r="A30" s="37" t="s">
        <v>66</v>
      </c>
      <c r="B30" s="159">
        <f>B26-B28</f>
        <v>201893585</v>
      </c>
      <c r="C30" s="66">
        <f>C26-C28</f>
        <v>202707004.73362726</v>
      </c>
      <c r="D30" s="66">
        <f t="shared" ref="D30:G30" si="7">D26-D28</f>
        <v>213923314.95223665</v>
      </c>
      <c r="E30" s="66">
        <f t="shared" si="7"/>
        <v>214641370.8220582</v>
      </c>
      <c r="F30" s="66">
        <f t="shared" si="7"/>
        <v>215142475.03418082</v>
      </c>
      <c r="G30" s="66">
        <f t="shared" si="7"/>
        <v>212423083.82864612</v>
      </c>
      <c r="H30" s="67">
        <f t="shared" ref="H30" si="8">RATE(5,,-B30,G30)</f>
        <v>1.0219710703572376E-2</v>
      </c>
    </row>
    <row r="31" spans="1:9" s="11" customFormat="1" ht="15" customHeight="1">
      <c r="A31" s="37"/>
      <c r="B31" s="159"/>
      <c r="H31" s="67"/>
    </row>
    <row r="32" spans="1:9" s="11" customFormat="1" ht="15" customHeight="1">
      <c r="A32" s="78" t="s">
        <v>79</v>
      </c>
      <c r="B32" s="159"/>
      <c r="H32" s="67"/>
    </row>
    <row r="33" spans="1:11" s="11" customFormat="1" ht="15" customHeight="1">
      <c r="A33" s="37" t="s">
        <v>116</v>
      </c>
      <c r="B33" s="159">
        <f>'Exhibit 1'!I31</f>
        <v>42230534</v>
      </c>
      <c r="C33" s="66">
        <f ca="1">C38*Assumptions!$D$55</f>
        <v>41479185.907473139</v>
      </c>
      <c r="D33" s="66">
        <f ca="1">D38*Assumptions!$D$55</f>
        <v>41351072.664709792</v>
      </c>
      <c r="E33" s="66">
        <f ca="1">E38*Assumptions!$D$55</f>
        <v>40540216.025633186</v>
      </c>
      <c r="F33" s="66">
        <f ca="1">F38*Assumptions!$D$55</f>
        <v>39590076.336958304</v>
      </c>
      <c r="G33" s="66">
        <f ca="1">G38*Assumptions!$D$55</f>
        <v>38277941.081012346</v>
      </c>
      <c r="H33" s="67">
        <f t="shared" ref="H33:H38" ca="1" si="9">RATE(5,,-B33,G33)</f>
        <v>-1.9462067211945631E-2</v>
      </c>
    </row>
    <row r="34" spans="1:11" s="11" customFormat="1" ht="15" customHeight="1">
      <c r="A34" s="37" t="s">
        <v>115</v>
      </c>
      <c r="B34" s="159">
        <f>'Exhibit 1'!I32</f>
        <v>-27703958</v>
      </c>
      <c r="C34" s="66">
        <f>B34</f>
        <v>-27703958</v>
      </c>
      <c r="D34" s="66">
        <f>C34</f>
        <v>-27703958</v>
      </c>
      <c r="E34" s="66">
        <f>D34</f>
        <v>-27703958</v>
      </c>
      <c r="F34" s="66">
        <f>E34</f>
        <v>-27703958</v>
      </c>
      <c r="G34" s="66">
        <f>F34</f>
        <v>-27703958</v>
      </c>
      <c r="H34" s="67">
        <f t="shared" si="9"/>
        <v>7.5249302515309737E-17</v>
      </c>
    </row>
    <row r="35" spans="1:11" s="11" customFormat="1" ht="15" customHeight="1">
      <c r="A35" s="37" t="s">
        <v>117</v>
      </c>
      <c r="B35" s="157">
        <f>'Exhibit 1'!I33</f>
        <v>98535536</v>
      </c>
      <c r="C35" s="165">
        <f>B35-9704934</f>
        <v>88830602</v>
      </c>
      <c r="D35" s="164">
        <f>C35-9704934</f>
        <v>79125668</v>
      </c>
      <c r="E35" s="164">
        <f>D35-9704934</f>
        <v>69420734</v>
      </c>
      <c r="F35" s="164">
        <f>E35-9704934</f>
        <v>59715800</v>
      </c>
      <c r="G35" s="164">
        <f>F35-9704934</f>
        <v>50010866</v>
      </c>
      <c r="H35" s="68">
        <f t="shared" si="9"/>
        <v>-0.12683906283543345</v>
      </c>
    </row>
    <row r="36" spans="1:11" s="11" customFormat="1" ht="15" customHeight="1">
      <c r="A36" s="37" t="s">
        <v>80</v>
      </c>
      <c r="B36" s="160">
        <f>B35+B34+B33</f>
        <v>113062112</v>
      </c>
      <c r="C36" s="165">
        <f ca="1">C35+C34+C33</f>
        <v>102605829.90747315</v>
      </c>
      <c r="D36" s="164">
        <f ca="1">D35+D34+D33</f>
        <v>92772782.664709792</v>
      </c>
      <c r="E36" s="164">
        <f t="shared" ref="E36:G36" ca="1" si="10">E35+E34+E33</f>
        <v>82256992.025633186</v>
      </c>
      <c r="F36" s="164">
        <f t="shared" ca="1" si="10"/>
        <v>71601918.336958304</v>
      </c>
      <c r="G36" s="164">
        <f t="shared" ca="1" si="10"/>
        <v>60584849.081012346</v>
      </c>
      <c r="H36" s="106">
        <f t="shared" ca="1" si="9"/>
        <v>-0.11730760001219592</v>
      </c>
    </row>
    <row r="37" spans="1:11" s="11" customFormat="1" ht="15" customHeight="1">
      <c r="A37" s="37" t="s">
        <v>49</v>
      </c>
      <c r="B37" s="160">
        <f>B36+B30</f>
        <v>314955697</v>
      </c>
      <c r="C37" s="66">
        <f ca="1">C36+C30</f>
        <v>305312834.64110041</v>
      </c>
      <c r="D37" s="66">
        <f ca="1">D36+D30</f>
        <v>306696097.61694646</v>
      </c>
      <c r="E37" s="66">
        <f t="shared" ref="E37:G37" ca="1" si="11">E36+E30</f>
        <v>296898362.84769142</v>
      </c>
      <c r="F37" s="66">
        <f t="shared" ca="1" si="11"/>
        <v>286744393.37113911</v>
      </c>
      <c r="G37" s="66">
        <f t="shared" ca="1" si="11"/>
        <v>273007932.90965849</v>
      </c>
      <c r="H37" s="106">
        <f t="shared" ca="1" si="9"/>
        <v>-2.8181505769984367E-2</v>
      </c>
    </row>
    <row r="38" spans="1:11" s="11" customFormat="1" ht="15" customHeight="1" thickBot="1">
      <c r="A38" s="37" t="s">
        <v>44</v>
      </c>
      <c r="B38" s="161">
        <f>B37+B20</f>
        <v>460321278</v>
      </c>
      <c r="C38" s="168">
        <f ca="1">C37+C20</f>
        <v>452131433.3209148</v>
      </c>
      <c r="D38" s="167">
        <f ca="1">D37+D20</f>
        <v>450734973.31788594</v>
      </c>
      <c r="E38" s="167">
        <f t="shared" ref="E38:G38" ca="1" si="12">E37+E20</f>
        <v>441896473.56378555</v>
      </c>
      <c r="F38" s="167">
        <f t="shared" ca="1" si="12"/>
        <v>431539760.67520726</v>
      </c>
      <c r="G38" s="167">
        <f t="shared" ca="1" si="12"/>
        <v>417237223.60745668</v>
      </c>
      <c r="H38" s="96">
        <f t="shared" ca="1" si="9"/>
        <v>-1.9462067211945624E-2</v>
      </c>
    </row>
    <row r="39" spans="1:11" s="11" customFormat="1" ht="15" customHeight="1" thickTop="1">
      <c r="A39" s="37"/>
      <c r="B39" s="66"/>
      <c r="C39" s="261"/>
      <c r="D39" s="40"/>
      <c r="E39" s="40"/>
      <c r="F39" s="40"/>
      <c r="G39" s="40"/>
      <c r="H39" s="169"/>
      <c r="K39" s="2"/>
    </row>
    <row r="40" spans="1:11" s="11" customFormat="1" ht="15" customHeight="1">
      <c r="B40" s="66"/>
      <c r="C40" s="262"/>
      <c r="D40" s="225"/>
      <c r="E40" s="225"/>
      <c r="F40" s="225"/>
      <c r="G40" s="225"/>
      <c r="H40" s="94"/>
    </row>
    <row r="41" spans="1:11" s="11" customFormat="1" ht="15" customHeight="1">
      <c r="A41" s="78" t="s">
        <v>8</v>
      </c>
      <c r="B41" s="66"/>
      <c r="C41" s="263"/>
      <c r="H41" s="67"/>
    </row>
    <row r="42" spans="1:11" s="11" customFormat="1" ht="15" customHeight="1">
      <c r="A42" s="80" t="s">
        <v>107</v>
      </c>
      <c r="B42" s="166"/>
      <c r="C42" s="263"/>
      <c r="H42" s="67"/>
    </row>
    <row r="43" spans="1:11" s="11" customFormat="1" ht="15" customHeight="1">
      <c r="A43" s="37" t="s">
        <v>84</v>
      </c>
      <c r="B43" s="166">
        <f>'Exhibit 1'!I40</f>
        <v>30476097</v>
      </c>
      <c r="C43" s="251">
        <f ca="1">D38*Assumptions!$D$64</f>
        <v>19224533.29433053</v>
      </c>
      <c r="D43" s="66">
        <f ca="1">D38*Assumptions!$D$64</f>
        <v>19224533.29433053</v>
      </c>
      <c r="E43" s="66">
        <f ca="1">E38*Assumptions!$D$64</f>
        <v>18847557.814607106</v>
      </c>
      <c r="F43" s="66">
        <f ca="1">F38*Assumptions!$D$64</f>
        <v>18405828.231742285</v>
      </c>
      <c r="G43" s="66">
        <f ca="1">G38*Assumptions!$D$64</f>
        <v>17795803.236281265</v>
      </c>
      <c r="H43" s="67">
        <f t="shared" ref="H43:H46" ca="1" si="13">RATE(5,,-B43,G43)</f>
        <v>-0.10200969148372645</v>
      </c>
    </row>
    <row r="44" spans="1:11" s="11" customFormat="1" ht="15" customHeight="1">
      <c r="A44" s="80" t="s">
        <v>108</v>
      </c>
      <c r="B44" s="166">
        <f>'Exhibit 1'!I41</f>
        <v>2368215</v>
      </c>
      <c r="C44" s="251">
        <f>B44</f>
        <v>2368215</v>
      </c>
      <c r="D44" s="66">
        <f>C44</f>
        <v>2368215</v>
      </c>
      <c r="E44" s="66">
        <f t="shared" ref="E44:G44" si="14">D44</f>
        <v>2368215</v>
      </c>
      <c r="F44" s="66">
        <f t="shared" si="14"/>
        <v>2368215</v>
      </c>
      <c r="G44" s="66">
        <f t="shared" si="14"/>
        <v>2368215</v>
      </c>
      <c r="H44" s="67">
        <f t="shared" si="13"/>
        <v>1.1807777739249852E-16</v>
      </c>
    </row>
    <row r="45" spans="1:11" s="11" customFormat="1" ht="15" customHeight="1">
      <c r="A45" s="37" t="s">
        <v>71</v>
      </c>
      <c r="B45" s="164">
        <f>'Exhibit 1'!I42</f>
        <v>13203666</v>
      </c>
      <c r="C45" s="165">
        <f ca="1">C38*Assumptions!$D$66</f>
        <v>13605506.630960913</v>
      </c>
      <c r="D45" s="164">
        <f ca="1">D38*Assumptions!$D$66</f>
        <v>13563484.456807861</v>
      </c>
      <c r="E45" s="164">
        <f ca="1">E38*Assumptions!$D$66</f>
        <v>13297516.956762789</v>
      </c>
      <c r="F45" s="164">
        <f ca="1">F38*Assumptions!$D$66</f>
        <v>12985863.496074298</v>
      </c>
      <c r="G45" s="164">
        <f ca="1">G38*Assumptions!$D$66</f>
        <v>12555472.577474471</v>
      </c>
      <c r="H45" s="68">
        <f t="shared" ca="1" si="13"/>
        <v>-1.0017068751318497E-2</v>
      </c>
    </row>
    <row r="46" spans="1:11" s="11" customFormat="1" ht="15" customHeight="1">
      <c r="A46" s="37" t="s">
        <v>46</v>
      </c>
      <c r="B46" s="166">
        <f t="shared" ref="B46" si="15">SUM(B41:B45)</f>
        <v>46047978</v>
      </c>
      <c r="C46" s="251">
        <f ca="1">SUM(C42:C45)</f>
        <v>35198254.925291441</v>
      </c>
      <c r="D46" s="66">
        <f t="shared" ref="D46:G46" ca="1" si="16">SUM(D42:D45)</f>
        <v>35156232.751138389</v>
      </c>
      <c r="E46" s="66">
        <f t="shared" ca="1" si="16"/>
        <v>34513289.771369897</v>
      </c>
      <c r="F46" s="66">
        <f t="shared" ca="1" si="16"/>
        <v>33759906.727816582</v>
      </c>
      <c r="G46" s="66">
        <f t="shared" ca="1" si="16"/>
        <v>32719490.813755736</v>
      </c>
      <c r="H46" s="67">
        <f t="shared" ca="1" si="13"/>
        <v>-6.605953116733676E-2</v>
      </c>
      <c r="I46" s="47"/>
    </row>
    <row r="47" spans="1:11" s="11" customFormat="1" ht="15" customHeight="1">
      <c r="A47" s="37"/>
      <c r="B47" s="166"/>
      <c r="C47" s="263"/>
      <c r="H47" s="67"/>
    </row>
    <row r="48" spans="1:11" s="11" customFormat="1" ht="15" customHeight="1">
      <c r="A48" s="130" t="s">
        <v>67</v>
      </c>
      <c r="B48" s="166">
        <f>'Exhibit 1'!I45</f>
        <v>275516294</v>
      </c>
      <c r="C48" s="251">
        <f>'Exhibit 1'!I45-10166234+5000000</f>
        <v>270350060</v>
      </c>
      <c r="D48" s="217">
        <f>C48-10166234+10000000</f>
        <v>270183826</v>
      </c>
      <c r="E48" s="217">
        <f>D48-14166234</f>
        <v>256017592</v>
      </c>
      <c r="F48" s="217">
        <f t="shared" ref="F48" si="17">E48-10166234</f>
        <v>245851358</v>
      </c>
      <c r="G48" s="217">
        <f>F48-19166234</f>
        <v>226685124</v>
      </c>
      <c r="H48" s="67">
        <f>RATE(5,,-B48,G48)</f>
        <v>-3.826560866660899E-2</v>
      </c>
    </row>
    <row r="49" spans="1:21" s="11" customFormat="1" ht="15" customHeight="1">
      <c r="A49" s="155" t="s">
        <v>10</v>
      </c>
      <c r="B49" s="166">
        <f>'Exhibit 1'!I46</f>
        <v>50358257</v>
      </c>
      <c r="C49" s="264">
        <f>B49*1.015</f>
        <v>51113630.854999997</v>
      </c>
      <c r="D49" s="217">
        <f>C49*1.015</f>
        <v>51880335.31782499</v>
      </c>
      <c r="E49" s="66">
        <f t="shared" ref="E49:G49" si="18">D49*1.015</f>
        <v>52658540.347592361</v>
      </c>
      <c r="F49" s="66">
        <f t="shared" si="18"/>
        <v>53448418.452806242</v>
      </c>
      <c r="G49" s="66">
        <f t="shared" si="18"/>
        <v>54250144.729598328</v>
      </c>
      <c r="H49" s="67">
        <f t="shared" ref="H49:H54" si="19">RATE(5,,-B49,G49)</f>
        <v>1.4999999999999883E-2</v>
      </c>
      <c r="I49" s="47"/>
    </row>
    <row r="50" spans="1:21" s="47" customFormat="1" ht="15" customHeight="1">
      <c r="A50" s="155" t="s">
        <v>68</v>
      </c>
      <c r="B50" s="166">
        <f>'Exhibit 1'!I47</f>
        <v>1244584</v>
      </c>
      <c r="C50" s="251">
        <f>B50*(1+Assumptions!$D$62)</f>
        <v>1244584</v>
      </c>
      <c r="D50" s="217">
        <f>C50*(1+Assumptions!$D$62)</f>
        <v>1244584</v>
      </c>
      <c r="E50" s="66">
        <f>D50*(1+Assumptions!$D$62)</f>
        <v>1244584</v>
      </c>
      <c r="F50" s="66">
        <f>E50*(1+Assumptions!$D$62)</f>
        <v>1244584</v>
      </c>
      <c r="G50" s="66">
        <f>F50*(1+Assumptions!$D$62)</f>
        <v>1244584</v>
      </c>
      <c r="H50" s="67">
        <f t="shared" si="19"/>
        <v>1.2545746912399278E-16</v>
      </c>
      <c r="J50" s="11">
        <f ca="1">IF(C38&lt;C60,(((C60-C38)*0.1)+C15),0)</f>
        <v>0</v>
      </c>
      <c r="K50" s="11">
        <f ca="1">IF(D38&lt;D60,(((D60-D38)*0.1)+D15),0)</f>
        <v>0</v>
      </c>
      <c r="L50" s="11">
        <f ca="1">IF(E38&lt;E60,(((E60-E38)*0.1)+E15),0)</f>
        <v>0</v>
      </c>
      <c r="M50" s="11">
        <f ca="1">IF(F38&lt;F60,(((F60-F38)*0.1)+F15),0)</f>
        <v>0</v>
      </c>
      <c r="N50" s="11">
        <f ca="1">IF(G38&lt;G60,(((G60-G38)*0.1)+G15),0)</f>
        <v>0</v>
      </c>
      <c r="O50" s="11" t="e">
        <f>IF(#REF!&lt;#REF!,(((#REF!-#REF!)*0.1)+#REF!),0)</f>
        <v>#REF!</v>
      </c>
      <c r="P50" s="11" t="e">
        <f>IF(#REF!&lt;#REF!,(((#REF!-#REF!)*0.1)+#REF!),0)</f>
        <v>#REF!</v>
      </c>
      <c r="Q50" s="11" t="e">
        <f>IF(#REF!&lt;#REF!,(((#REF!-#REF!)*0.1)+#REF!),0)</f>
        <v>#REF!</v>
      </c>
      <c r="R50" s="11" t="e">
        <f>IF(#REF!&lt;#REF!,(((#REF!-#REF!)*0.1)+#REF!),0)</f>
        <v>#REF!</v>
      </c>
      <c r="S50" s="11" t="e">
        <f>IF(#REF!&lt;#REF!,(((#REF!-#REF!)*0.1)+#REF!),0)</f>
        <v>#REF!</v>
      </c>
    </row>
    <row r="51" spans="1:21" s="47" customFormat="1" ht="15" customHeight="1">
      <c r="A51" s="155" t="s">
        <v>1</v>
      </c>
      <c r="B51" s="164">
        <v>0</v>
      </c>
      <c r="C51" s="165">
        <f ca="1">J51</f>
        <v>13752353.855079927</v>
      </c>
      <c r="D51" s="219">
        <f ca="1">K51</f>
        <v>15042426.612633068</v>
      </c>
      <c r="E51" s="219">
        <f ca="1">L51</f>
        <v>17000667.88553552</v>
      </c>
      <c r="F51" s="219">
        <f ca="1">M51</f>
        <v>18737386.896784421</v>
      </c>
      <c r="G51" s="219">
        <f ca="1">N51</f>
        <v>18288997.804289993</v>
      </c>
      <c r="H51" s="68"/>
      <c r="I51" s="11"/>
      <c r="J51" s="11">
        <f ca="1">IF(C38&gt;C60,(((C38-C60)*0.1)+C51),0)</f>
        <v>13752353.864056028</v>
      </c>
      <c r="K51" s="11">
        <f ca="1">IF(D38&gt;D60,(((D38-D60)*0.1)+D51),0)</f>
        <v>15042426.652468635</v>
      </c>
      <c r="L51" s="11">
        <f ca="1">IF(E38&gt;E60,(((E38-E60)*0.1)+E51),0)</f>
        <v>17000667.925404433</v>
      </c>
      <c r="M51" s="11">
        <f ca="1">IF(F38&gt;F60,(((F38-F60)*0.1)+F51),0)</f>
        <v>18737386.936680991</v>
      </c>
      <c r="N51" s="11">
        <f ca="1">IF(G38&gt;G60,(((G38-G60)*0.1)+G51),0)</f>
        <v>18288997.844175134</v>
      </c>
      <c r="O51" s="11" t="e">
        <f>IF(#REF!&gt;#REF!,(((#REF!-#REF!)*0.1)+#REF!),0)</f>
        <v>#REF!</v>
      </c>
      <c r="P51" s="11" t="e">
        <f>IF(#REF!&gt;#REF!,(((#REF!-#REF!)*0.1)+#REF!),0)</f>
        <v>#REF!</v>
      </c>
      <c r="Q51" s="11" t="e">
        <f>IF(#REF!&gt;#REF!,(((#REF!-#REF!)*0.1)+#REF!),0)</f>
        <v>#REF!</v>
      </c>
      <c r="R51" s="11" t="e">
        <f>IF(#REF!&gt;#REF!,(((#REF!-#REF!)*0.1)+#REF!),0)</f>
        <v>#REF!</v>
      </c>
      <c r="S51" s="11" t="e">
        <f>IF(#REF!&gt;#REF!,(((#REF!-#REF!)*0.1)+#REF!),0)</f>
        <v>#REF!</v>
      </c>
    </row>
    <row r="52" spans="1:21" s="11" customFormat="1" ht="15" customHeight="1">
      <c r="A52" s="130" t="s">
        <v>69</v>
      </c>
      <c r="B52" s="166">
        <f t="shared" ref="B52" si="20">SUM(B48:B51)</f>
        <v>327119135</v>
      </c>
      <c r="C52" s="251">
        <f ca="1">SUM(C48:C51)</f>
        <v>336460628.71007997</v>
      </c>
      <c r="D52" s="217">
        <f ca="1">SUM(D48:D51)</f>
        <v>338351171.93045801</v>
      </c>
      <c r="E52" s="66">
        <f ca="1">SUM(E48:E51)</f>
        <v>326921384.23312789</v>
      </c>
      <c r="F52" s="66">
        <f ca="1">SUM(F48:F51)</f>
        <v>319281747.34959066</v>
      </c>
      <c r="G52" s="66">
        <f ca="1">SUM(G48:G51)</f>
        <v>300468850.53388834</v>
      </c>
      <c r="H52" s="67">
        <f t="shared" ca="1" si="19"/>
        <v>-1.685245001996406E-2</v>
      </c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7"/>
      <c r="U52" s="47"/>
    </row>
    <row r="53" spans="1:21" s="11" customFormat="1" ht="15" customHeight="1">
      <c r="A53" s="130"/>
      <c r="B53" s="166"/>
      <c r="C53" s="263"/>
      <c r="D53" s="47"/>
      <c r="H53" s="94"/>
    </row>
    <row r="54" spans="1:21" s="11" customFormat="1" ht="15" customHeight="1">
      <c r="A54" s="155" t="s">
        <v>47</v>
      </c>
      <c r="B54" s="166">
        <f>'Exhibit 1'!I50</f>
        <v>373167113</v>
      </c>
      <c r="C54" s="251">
        <f ca="1">C46+C52</f>
        <v>371658883.63537139</v>
      </c>
      <c r="D54" s="217">
        <f ca="1">D46+D52</f>
        <v>373507404.6815964</v>
      </c>
      <c r="E54" s="66">
        <f ca="1">E46+E52</f>
        <v>361434674.00449777</v>
      </c>
      <c r="F54" s="66">
        <f ca="1">F46+F52</f>
        <v>353041654.07740724</v>
      </c>
      <c r="G54" s="66">
        <f ca="1">G46+G52</f>
        <v>333188341.34764409</v>
      </c>
      <c r="H54" s="67">
        <f t="shared" ca="1" si="19"/>
        <v>-2.2408792668509921E-2</v>
      </c>
      <c r="I54" s="47"/>
      <c r="J54" s="43"/>
      <c r="K54" s="43"/>
      <c r="L54" s="43"/>
      <c r="M54" s="43"/>
      <c r="N54" s="43"/>
      <c r="O54" s="43"/>
      <c r="P54" s="43"/>
      <c r="Q54" s="43"/>
      <c r="R54" s="43"/>
    </row>
    <row r="55" spans="1:21" s="11" customFormat="1" ht="15" customHeight="1">
      <c r="A55" s="155"/>
      <c r="B55" s="166"/>
      <c r="C55" s="262"/>
      <c r="D55" s="47"/>
      <c r="E55" s="47"/>
      <c r="F55" s="47"/>
      <c r="G55" s="47"/>
      <c r="H55" s="155"/>
      <c r="I55" s="47"/>
    </row>
    <row r="56" spans="1:21" s="11" customFormat="1" ht="15" customHeight="1">
      <c r="A56" s="268" t="s">
        <v>118</v>
      </c>
      <c r="B56" s="166"/>
      <c r="C56" s="262"/>
      <c r="D56" s="47"/>
      <c r="E56" s="47"/>
      <c r="F56" s="47"/>
      <c r="G56" s="47"/>
      <c r="H56" s="216"/>
      <c r="I56" s="47"/>
    </row>
    <row r="57" spans="1:21" s="11" customFormat="1" ht="15" customHeight="1">
      <c r="A57" s="80" t="s">
        <v>96</v>
      </c>
      <c r="B57" s="166">
        <f>'Exhibit 1'!I53</f>
        <v>87154165</v>
      </c>
      <c r="C57" s="264">
        <f ca="1">B57+C102-C105</f>
        <v>80472549.604310468</v>
      </c>
      <c r="D57" s="217">
        <f ca="1">C57+D102-D105</f>
        <v>77227568.274256617</v>
      </c>
      <c r="E57" s="217">
        <f ca="1">D57+E102-E105</f>
        <v>80461799.196958989</v>
      </c>
      <c r="F57" s="217">
        <f ca="1">E57+F102-F105</f>
        <v>78498106.235225827</v>
      </c>
      <c r="G57" s="217">
        <f ca="1">F57+G102-G105</f>
        <v>84048881.897339851</v>
      </c>
      <c r="H57" s="216">
        <f t="shared" ref="H57" ca="1" si="21">RATE(5,,-B57,G57)</f>
        <v>-7.2297397902431823E-3</v>
      </c>
      <c r="I57" s="47"/>
    </row>
    <row r="58" spans="1:21" s="11" customFormat="1" ht="15" customHeight="1">
      <c r="A58" s="82" t="s">
        <v>34</v>
      </c>
      <c r="B58" s="164"/>
      <c r="C58" s="218"/>
      <c r="D58" s="219"/>
      <c r="E58" s="219"/>
      <c r="F58" s="219"/>
      <c r="G58" s="219"/>
      <c r="H58" s="220"/>
      <c r="I58" s="47"/>
    </row>
    <row r="59" spans="1:21" s="11" customFormat="1" ht="15" customHeight="1">
      <c r="A59" s="37" t="s">
        <v>110</v>
      </c>
      <c r="B59" s="259">
        <f>SUM(B56:B58)</f>
        <v>87154165</v>
      </c>
      <c r="C59" s="264">
        <f ca="1">SUM(C57:C58)</f>
        <v>80472549.604310468</v>
      </c>
      <c r="D59" s="217">
        <f t="shared" ref="D59" ca="1" si="22">SUM(D57:D58)</f>
        <v>77227568.274256617</v>
      </c>
      <c r="E59" s="217">
        <f t="shared" ref="E59:G59" ca="1" si="23">SUM(E57:E58)</f>
        <v>80461799.196958989</v>
      </c>
      <c r="F59" s="217">
        <f t="shared" ca="1" si="23"/>
        <v>78498106.235225827</v>
      </c>
      <c r="G59" s="217">
        <f t="shared" ca="1" si="23"/>
        <v>84048881.897339851</v>
      </c>
      <c r="H59" s="221">
        <f t="shared" ref="H59:H60" ca="1" si="24">RATE(5,,-B59,G59)</f>
        <v>-7.2297397902431823E-3</v>
      </c>
      <c r="I59" s="47"/>
    </row>
    <row r="60" spans="1:21" s="11" customFormat="1" ht="15" customHeight="1" thickBot="1">
      <c r="A60" s="37" t="s">
        <v>48</v>
      </c>
      <c r="B60" s="260">
        <f>B59+B54</f>
        <v>460321278</v>
      </c>
      <c r="C60" s="222">
        <f ca="1">C59+C54</f>
        <v>452131433.23968184</v>
      </c>
      <c r="D60" s="223">
        <f ca="1">D59+D54</f>
        <v>450734972.95585299</v>
      </c>
      <c r="E60" s="223">
        <f t="shared" ref="E60:G60" ca="1" si="25">E59+E54</f>
        <v>441896473.20145679</v>
      </c>
      <c r="F60" s="223">
        <f t="shared" ca="1" si="25"/>
        <v>431539760.31263304</v>
      </c>
      <c r="G60" s="223">
        <f t="shared" ca="1" si="25"/>
        <v>417237223.24498391</v>
      </c>
      <c r="H60" s="224">
        <f t="shared" ca="1" si="24"/>
        <v>-1.9462067382313174E-2</v>
      </c>
      <c r="I60" s="47"/>
    </row>
    <row r="61" spans="1:21" s="11" customFormat="1" ht="15" customHeight="1" thickTop="1">
      <c r="B61" s="66">
        <f>B60-B38</f>
        <v>0</v>
      </c>
      <c r="C61" s="264">
        <f t="shared" ref="C61:G61" ca="1" si="26">C60-C38</f>
        <v>-8.1232964992523193E-2</v>
      </c>
      <c r="D61" s="217">
        <f t="shared" ca="1" si="26"/>
        <v>-0.36203294992446899</v>
      </c>
      <c r="E61" s="217">
        <f t="shared" ca="1" si="26"/>
        <v>-0.36232876777648926</v>
      </c>
      <c r="F61" s="217">
        <f t="shared" ca="1" si="26"/>
        <v>-0.36257421970367432</v>
      </c>
      <c r="G61" s="217">
        <f t="shared" ca="1" si="26"/>
        <v>-0.3624727725982666</v>
      </c>
      <c r="H61" s="155"/>
      <c r="I61" s="47"/>
    </row>
    <row r="62" spans="1:21" s="11" customFormat="1" ht="15" customHeight="1">
      <c r="B62" s="66"/>
      <c r="C62" s="47"/>
      <c r="D62" s="47"/>
      <c r="E62" s="47"/>
      <c r="F62" s="47"/>
      <c r="G62" s="47"/>
      <c r="H62" s="155"/>
      <c r="I62" s="47"/>
    </row>
    <row r="63" spans="1:21" s="11" customFormat="1" ht="15" customHeight="1">
      <c r="B63" s="66"/>
      <c r="C63" s="47"/>
      <c r="D63" s="47"/>
      <c r="E63" s="47"/>
      <c r="F63" s="47"/>
      <c r="G63" s="47"/>
      <c r="H63" s="216"/>
      <c r="I63" s="47"/>
    </row>
    <row r="64" spans="1:21" s="11" customFormat="1" ht="15" customHeight="1">
      <c r="B64" s="66"/>
      <c r="H64" s="73" t="str">
        <f>H2</f>
        <v>Exhibit 2</v>
      </c>
    </row>
    <row r="65" spans="1:8" s="11" customFormat="1" ht="15" customHeight="1">
      <c r="B65" s="66"/>
      <c r="H65" s="73" t="s">
        <v>100</v>
      </c>
    </row>
    <row r="66" spans="1:8" s="11" customFormat="1" ht="15" customHeight="1">
      <c r="A66" s="269" t="str">
        <f>A4</f>
        <v>Deseret Generation &amp; Transmission</v>
      </c>
      <c r="B66" s="269"/>
      <c r="C66" s="269"/>
      <c r="D66" s="269"/>
      <c r="E66" s="269"/>
      <c r="F66" s="269"/>
      <c r="G66" s="269"/>
      <c r="H66" s="269"/>
    </row>
    <row r="67" spans="1:8" s="11" customFormat="1" ht="15" customHeight="1">
      <c r="A67" s="273" t="s">
        <v>124</v>
      </c>
      <c r="B67" s="273"/>
      <c r="C67" s="273"/>
      <c r="D67" s="273"/>
      <c r="E67" s="273"/>
      <c r="F67" s="273"/>
      <c r="G67" s="273"/>
      <c r="H67" s="273"/>
    </row>
    <row r="68" spans="1:8" s="11" customFormat="1" ht="15" customHeight="1">
      <c r="A68" s="274">
        <f ca="1">A6</f>
        <v>40805.393413541664</v>
      </c>
      <c r="B68" s="274"/>
      <c r="C68" s="274"/>
      <c r="D68" s="274"/>
      <c r="E68" s="274"/>
      <c r="F68" s="274"/>
      <c r="G68" s="274"/>
      <c r="H68" s="274"/>
    </row>
    <row r="69" spans="1:8" s="11" customFormat="1" ht="15" customHeight="1">
      <c r="B69" s="66"/>
      <c r="H69" s="67"/>
    </row>
    <row r="70" spans="1:8" s="11" customFormat="1" ht="15" customHeight="1">
      <c r="B70" s="66"/>
      <c r="H70" s="67"/>
    </row>
    <row r="71" spans="1:8" s="11" customFormat="1" ht="15" customHeight="1">
      <c r="B71" s="195" t="s">
        <v>16</v>
      </c>
      <c r="C71" s="110" t="s">
        <v>57</v>
      </c>
      <c r="D71" s="110" t="s">
        <v>57</v>
      </c>
      <c r="E71" s="110" t="s">
        <v>57</v>
      </c>
      <c r="F71" s="110" t="s">
        <v>57</v>
      </c>
      <c r="G71" s="110" t="s">
        <v>57</v>
      </c>
      <c r="H71" s="128" t="s">
        <v>4</v>
      </c>
    </row>
    <row r="72" spans="1:8" s="11" customFormat="1" ht="15" customHeight="1">
      <c r="A72" s="116" t="s">
        <v>0</v>
      </c>
      <c r="B72" s="201">
        <f>B10</f>
        <v>2010</v>
      </c>
      <c r="C72" s="114">
        <f>C10</f>
        <v>2011</v>
      </c>
      <c r="D72" s="114">
        <f>D10</f>
        <v>2012</v>
      </c>
      <c r="E72" s="114">
        <f t="shared" ref="E72:G72" si="27">E10</f>
        <v>2013</v>
      </c>
      <c r="F72" s="114">
        <f t="shared" si="27"/>
        <v>2014</v>
      </c>
      <c r="G72" s="114">
        <f t="shared" si="27"/>
        <v>2015</v>
      </c>
      <c r="H72" s="129" t="s">
        <v>30</v>
      </c>
    </row>
    <row r="73" spans="1:8" s="11" customFormat="1" ht="15" customHeight="1">
      <c r="A73" s="37" t="s">
        <v>28</v>
      </c>
      <c r="B73" s="159"/>
      <c r="C73" s="37"/>
      <c r="D73" s="37"/>
      <c r="E73" s="37"/>
      <c r="F73" s="37"/>
      <c r="G73" s="37"/>
      <c r="H73" s="67"/>
    </row>
    <row r="74" spans="1:8" s="11" customFormat="1" ht="15" customHeight="1">
      <c r="A74" s="37" t="s">
        <v>99</v>
      </c>
      <c r="B74" s="234">
        <f>'Exhibit 1'!I69</f>
        <v>233233865</v>
      </c>
      <c r="C74" s="137">
        <f>B74*(1+Assumptions!D12)-5000000</f>
        <v>232043583.9046523</v>
      </c>
      <c r="D74" s="137">
        <f>C76*(1+(Assumptions!$D$12))-15000000</f>
        <v>220833860.36516899</v>
      </c>
      <c r="E74" s="137">
        <f>D76*(1+(Assumptions!$D$12))+5000000</f>
        <v>229441033.5028286</v>
      </c>
      <c r="F74" s="137">
        <f>E76*(1+(Assumptions!$D$12))</f>
        <v>233188799.04639015</v>
      </c>
      <c r="G74" s="137">
        <f>F76*(1+(Assumptions!$D$12))</f>
        <v>236997781.82888702</v>
      </c>
      <c r="H74" s="67">
        <f>RATE(5,,-B74,G74)</f>
        <v>3.2069551309442954E-3</v>
      </c>
    </row>
    <row r="75" spans="1:8" s="11" customFormat="1" ht="15" customHeight="1">
      <c r="A75" s="37"/>
      <c r="B75" s="235"/>
      <c r="C75" s="141"/>
      <c r="D75" s="141"/>
      <c r="E75" s="141"/>
      <c r="F75" s="141"/>
      <c r="G75" s="141"/>
      <c r="H75" s="68"/>
    </row>
    <row r="76" spans="1:8" s="11" customFormat="1" ht="15" customHeight="1">
      <c r="A76" s="37" t="s">
        <v>61</v>
      </c>
      <c r="B76" s="234">
        <f>SUM(B73:B75)</f>
        <v>233233865</v>
      </c>
      <c r="C76" s="137">
        <f>SUM(C73:C75)</f>
        <v>232043583.9046523</v>
      </c>
      <c r="D76" s="137">
        <f t="shared" ref="D76:G76" si="28">SUM(D73:D75)</f>
        <v>220833860.36516899</v>
      </c>
      <c r="E76" s="137">
        <f t="shared" si="28"/>
        <v>229441033.5028286</v>
      </c>
      <c r="F76" s="137">
        <f t="shared" si="28"/>
        <v>233188799.04639015</v>
      </c>
      <c r="G76" s="137">
        <f t="shared" si="28"/>
        <v>236997781.82888702</v>
      </c>
      <c r="H76" s="67">
        <f>RATE(5,,-B76,G76)</f>
        <v>3.2069551309442954E-3</v>
      </c>
    </row>
    <row r="77" spans="1:8" s="11" customFormat="1" ht="15" customHeight="1">
      <c r="A77" s="37"/>
      <c r="B77" s="234"/>
      <c r="C77" s="236"/>
      <c r="D77" s="236"/>
      <c r="E77" s="236"/>
      <c r="F77" s="236"/>
      <c r="G77" s="236"/>
      <c r="H77" s="67"/>
    </row>
    <row r="78" spans="1:8" s="11" customFormat="1" ht="15" customHeight="1">
      <c r="A78" s="37" t="s">
        <v>26</v>
      </c>
      <c r="B78" s="234"/>
      <c r="C78" s="147"/>
      <c r="D78" s="147"/>
      <c r="E78" s="147"/>
      <c r="F78" s="147"/>
      <c r="G78" s="147"/>
      <c r="H78" s="67"/>
    </row>
    <row r="79" spans="1:8" s="11" customFormat="1" ht="15" customHeight="1">
      <c r="A79" s="83" t="s">
        <v>133</v>
      </c>
      <c r="B79" s="234">
        <f>'Exhibit 1'!I74</f>
        <v>93442199</v>
      </c>
      <c r="C79" s="137">
        <f>C76*Assumptions!$D$16</f>
        <v>80831828.70640853</v>
      </c>
      <c r="D79" s="137">
        <f>D76*Assumptions!$D$16</f>
        <v>76926948.262215629</v>
      </c>
      <c r="E79" s="137">
        <f>E76*Assumptions!$D$16</f>
        <v>79925236.484636739</v>
      </c>
      <c r="F79" s="137">
        <f>F76*Assumptions!$D$16</f>
        <v>81230761.668101519</v>
      </c>
      <c r="G79" s="137">
        <f>G76*Assumptions!$D$16</f>
        <v>82557611.730661139</v>
      </c>
      <c r="H79" s="67">
        <f t="shared" ref="H79:H96" si="29">RATE(5,,-B79,G79)</f>
        <v>-2.4465092940486478E-2</v>
      </c>
    </row>
    <row r="80" spans="1:8" s="11" customFormat="1" ht="15" customHeight="1">
      <c r="A80" s="83" t="s">
        <v>132</v>
      </c>
      <c r="B80" s="234">
        <f>'Exhibit 1'!I75</f>
        <v>23569377</v>
      </c>
      <c r="C80" s="137">
        <f>C76*Assumptions!$D$17</f>
        <v>28347979.258313239</v>
      </c>
      <c r="D80" s="137">
        <f>D76*Assumptions!$D$17</f>
        <v>26978525.274533741</v>
      </c>
      <c r="E80" s="137">
        <f>E76*Assumptions!$D$17</f>
        <v>28030034.484455891</v>
      </c>
      <c r="F80" s="137">
        <f>F76*Assumptions!$D$17</f>
        <v>28487886.316021979</v>
      </c>
      <c r="G80" s="137">
        <f>G76*Assumptions!$D$17</f>
        <v>28953216.8504696</v>
      </c>
      <c r="H80" s="67">
        <f t="shared" si="29"/>
        <v>4.200485863983771E-2</v>
      </c>
    </row>
    <row r="81" spans="1:18" s="11" customFormat="1" ht="15" customHeight="1">
      <c r="A81" s="83" t="s">
        <v>134</v>
      </c>
      <c r="B81" s="234">
        <f>'Exhibit 1'!I76</f>
        <v>53947271</v>
      </c>
      <c r="C81" s="137">
        <f>C76*Assumptions!$D$18</f>
        <v>56158508.263129003</v>
      </c>
      <c r="D81" s="137">
        <f>D76*Assumptions!$D$18</f>
        <v>53445563.817838341</v>
      </c>
      <c r="E81" s="137">
        <f>E76*Assumptions!$D$18</f>
        <v>55528646.640641391</v>
      </c>
      <c r="F81" s="137">
        <f>F76*Assumptions!$D$18</f>
        <v>56435669.876124829</v>
      </c>
      <c r="G81" s="137">
        <f>G76*Assumptions!$D$18</f>
        <v>57357508.728402093</v>
      </c>
      <c r="H81" s="67">
        <f t="shared" si="29"/>
        <v>1.23347849412718E-2</v>
      </c>
    </row>
    <row r="82" spans="1:18" s="11" customFormat="1" ht="15" customHeight="1">
      <c r="A82" s="83" t="s">
        <v>135</v>
      </c>
      <c r="B82" s="234">
        <f>'Exhibit 1'!I77</f>
        <v>8599813</v>
      </c>
      <c r="C82" s="137">
        <f>C76*Assumptions!$D$19</f>
        <v>9345756.134358013</v>
      </c>
      <c r="D82" s="137">
        <f>D76*Assumptions!$D$19</f>
        <v>8894274.8187762331</v>
      </c>
      <c r="E82" s="137">
        <f>E76*Assumptions!$D$19</f>
        <v>9240936.1648784261</v>
      </c>
      <c r="F82" s="137">
        <f>F76*Assumptions!$D$19</f>
        <v>9391880.6651722509</v>
      </c>
      <c r="G82" s="137">
        <f>G76*Assumptions!$D$19</f>
        <v>9545290.7427368667</v>
      </c>
      <c r="H82" s="67">
        <f t="shared" si="29"/>
        <v>2.1080613618935456E-2</v>
      </c>
    </row>
    <row r="83" spans="1:18" s="11" customFormat="1" ht="15" customHeight="1">
      <c r="A83" s="83" t="s">
        <v>136</v>
      </c>
      <c r="B83" s="234">
        <f>'Exhibit 1'!I78</f>
        <v>1502964</v>
      </c>
      <c r="C83" s="137">
        <f>C76*Assumptions!$D$20</f>
        <v>1347939.3694326703</v>
      </c>
      <c r="D83" s="137">
        <f>D76*Assumptions!$D$20</f>
        <v>1282822.1728049263</v>
      </c>
      <c r="E83" s="137">
        <f>E76*Assumptions!$D$20</f>
        <v>1332821.1744430927</v>
      </c>
      <c r="F83" s="137">
        <f>F76*Assumptions!$D$20</f>
        <v>1354591.9152606695</v>
      </c>
      <c r="G83" s="137">
        <f>G76*Assumptions!$D$20</f>
        <v>1376718.2665418515</v>
      </c>
      <c r="H83" s="67">
        <f t="shared" si="29"/>
        <v>-1.7394254288317316E-2</v>
      </c>
    </row>
    <row r="84" spans="1:18" s="11" customFormat="1" ht="15" customHeight="1">
      <c r="A84" s="83" t="s">
        <v>137</v>
      </c>
      <c r="B84" s="234">
        <f>'Exhibit 1'!I79</f>
        <v>15195566</v>
      </c>
      <c r="C84" s="137">
        <f>C76*Assumptions!$D$21</f>
        <v>15118017.248908864</v>
      </c>
      <c r="D84" s="137">
        <f>D76*Assumptions!$D$21</f>
        <v>14387685.51133734</v>
      </c>
      <c r="E84" s="137">
        <f>E76*Assumptions!$D$21</f>
        <v>14948456.853383804</v>
      </c>
      <c r="F84" s="137">
        <f>F76*Assumptions!$D$21</f>
        <v>15192629.879756777</v>
      </c>
      <c r="G84" s="137">
        <f>G76*Assumptions!$D$21</f>
        <v>15440791.308905562</v>
      </c>
      <c r="H84" s="67">
        <f t="shared" si="29"/>
        <v>3.2069551309446285E-3</v>
      </c>
    </row>
    <row r="85" spans="1:18" s="11" customFormat="1" ht="15" customHeight="1">
      <c r="A85" s="84" t="s">
        <v>138</v>
      </c>
      <c r="B85" s="234">
        <f>'Exhibit 1'!I80</f>
        <v>14058230</v>
      </c>
      <c r="C85" s="137">
        <f>C76*Assumptions!$D$22</f>
        <v>13432601.266372766</v>
      </c>
      <c r="D85" s="137">
        <f>D76*Assumptions!$D$22</f>
        <v>12783689.7813906</v>
      </c>
      <c r="E85" s="137">
        <f>E76*Assumptions!$D$22</f>
        <v>13281944.13017847</v>
      </c>
      <c r="F85" s="137">
        <f>F76*Assumptions!$D$22</f>
        <v>13498895.787877392</v>
      </c>
      <c r="G85" s="137">
        <f>G76*Assumptions!$D$22</f>
        <v>13719391.205534719</v>
      </c>
      <c r="H85" s="67">
        <f t="shared" si="29"/>
        <v>-4.867662519290804E-3</v>
      </c>
    </row>
    <row r="86" spans="1:18" s="11" customFormat="1" ht="15" customHeight="1">
      <c r="A86" s="84" t="s">
        <v>139</v>
      </c>
      <c r="B86" s="234">
        <f>'Exhibit 1'!I81</f>
        <v>3986385</v>
      </c>
      <c r="C86" s="238">
        <f>C76*Assumptions!$D$23</f>
        <v>3942092.1128950082</v>
      </c>
      <c r="D86" s="238">
        <f>D76*Assumptions!$D$23</f>
        <v>3751654.7734558433</v>
      </c>
      <c r="E86" s="238">
        <f>E76*Assumptions!$D$23</f>
        <v>3897878.4645803166</v>
      </c>
      <c r="F86" s="238">
        <f>F76*Assumptions!$D$23</f>
        <v>3961547.6974961655</v>
      </c>
      <c r="G86" s="238">
        <f>G76*Assumptions!$D$23</f>
        <v>4026256.924669642</v>
      </c>
      <c r="H86" s="94">
        <f t="shared" si="29"/>
        <v>1.9924495665937332E-3</v>
      </c>
    </row>
    <row r="87" spans="1:18" s="11" customFormat="1" ht="15" customHeight="1">
      <c r="A87" s="84" t="str">
        <f>'Exhibit 1'!A82</f>
        <v>Provision for Deferred Income Taxes 17</v>
      </c>
      <c r="B87" s="234">
        <f>'Exhibit 1'!I82</f>
        <v>-1072887</v>
      </c>
      <c r="C87" s="265">
        <f>'Exhibit 1'!G82</f>
        <v>6265349</v>
      </c>
      <c r="D87" s="141">
        <f>'Exhibit 1'!H82</f>
        <v>1218103</v>
      </c>
      <c r="E87" s="141">
        <f>B87</f>
        <v>-1072887</v>
      </c>
      <c r="F87" s="141">
        <f>C87</f>
        <v>6265349</v>
      </c>
      <c r="G87" s="141">
        <f>D87</f>
        <v>1218103</v>
      </c>
      <c r="H87" s="68"/>
    </row>
    <row r="88" spans="1:18" s="11" customFormat="1" ht="15" customHeight="1">
      <c r="A88" s="37" t="s">
        <v>50</v>
      </c>
      <c r="B88" s="145">
        <f>SUM(B79:B87)</f>
        <v>213228918</v>
      </c>
      <c r="C88" s="237">
        <f>SUM(C79:C87)</f>
        <v>214790071.3598181</v>
      </c>
      <c r="D88" s="145">
        <f t="shared" ref="D88:G88" si="30">SUM(D79:D87)</f>
        <v>199669267.41235262</v>
      </c>
      <c r="E88" s="145">
        <f t="shared" si="30"/>
        <v>205113067.39719817</v>
      </c>
      <c r="F88" s="145">
        <f t="shared" si="30"/>
        <v>215819212.80581158</v>
      </c>
      <c r="G88" s="145">
        <f t="shared" si="30"/>
        <v>214194888.75792149</v>
      </c>
      <c r="H88" s="106">
        <f t="shared" si="29"/>
        <v>9.0440367232833289E-4</v>
      </c>
    </row>
    <row r="89" spans="1:18" s="47" customFormat="1" ht="15" customHeight="1">
      <c r="A89" s="37" t="s">
        <v>14</v>
      </c>
      <c r="B89" s="234">
        <f t="shared" ref="B89:D89" si="31">B76-B88</f>
        <v>20004947</v>
      </c>
      <c r="C89" s="137">
        <f t="shared" si="31"/>
        <v>17253512.544834197</v>
      </c>
      <c r="D89" s="238">
        <f t="shared" si="31"/>
        <v>21164592.952816367</v>
      </c>
      <c r="E89" s="238">
        <f t="shared" ref="E89" si="32">E76-E88</f>
        <v>24327966.105630428</v>
      </c>
      <c r="F89" s="238">
        <f t="shared" ref="F89" si="33">F76-F88</f>
        <v>17369586.240578562</v>
      </c>
      <c r="G89" s="238">
        <f t="shared" ref="G89" si="34">G76-G88</f>
        <v>22802893.070965528</v>
      </c>
      <c r="H89" s="67">
        <f t="shared" si="29"/>
        <v>2.6527312784691042E-2</v>
      </c>
      <c r="J89" s="62">
        <v>0.06</v>
      </c>
      <c r="K89" s="62">
        <v>7.0000000000000007E-2</v>
      </c>
      <c r="L89" s="62">
        <v>0.08</v>
      </c>
      <c r="M89" s="62">
        <v>0.09</v>
      </c>
      <c r="N89" s="62">
        <v>0.1</v>
      </c>
      <c r="O89" s="62">
        <v>0.11</v>
      </c>
      <c r="P89" s="62">
        <v>0.11</v>
      </c>
      <c r="Q89" s="62">
        <v>0.11</v>
      </c>
      <c r="R89" s="62">
        <v>0.11</v>
      </c>
    </row>
    <row r="90" spans="1:18" s="47" customFormat="1" ht="15" customHeight="1">
      <c r="A90" s="37"/>
      <c r="B90" s="234"/>
      <c r="C90" s="239"/>
      <c r="D90" s="239"/>
      <c r="E90" s="239"/>
      <c r="F90" s="239"/>
      <c r="G90" s="239"/>
      <c r="H90" s="67"/>
      <c r="J90" s="62"/>
      <c r="K90" s="62"/>
      <c r="L90" s="62"/>
      <c r="M90" s="62"/>
      <c r="N90" s="62"/>
      <c r="O90" s="62"/>
      <c r="P90" s="62"/>
      <c r="Q90" s="62"/>
      <c r="R90" s="62"/>
    </row>
    <row r="91" spans="1:18" s="47" customFormat="1" ht="15" customHeight="1">
      <c r="A91" s="84" t="s">
        <v>154</v>
      </c>
      <c r="B91" s="234">
        <f>'Exhibit 1'!I86</f>
        <v>32327019</v>
      </c>
      <c r="C91" s="139">
        <f>((C48+B48+B42+C42)/2)*Assumptions!$D$24</f>
        <v>34625546.577434331</v>
      </c>
      <c r="D91" s="137">
        <f>((D48+C48+C42+D42)/2)*Assumptions!$D$24</f>
        <v>34287295.982295662</v>
      </c>
      <c r="E91" s="137">
        <f>((E48+D48+D42+E42)/2)*Assumptions!$D$24</f>
        <v>33378154.88087583</v>
      </c>
      <c r="F91" s="137">
        <f>((F48+E48+E42+F42)/2)*Assumptions!$D$24</f>
        <v>31834690.994699158</v>
      </c>
      <c r="G91" s="137">
        <f>((G48+F48+F42+G42)/2)*Assumptions!$D$24</f>
        <v>29974065.716144066</v>
      </c>
      <c r="H91" s="67">
        <f t="shared" si="29"/>
        <v>-1.5000524294729718E-2</v>
      </c>
      <c r="J91" s="62"/>
      <c r="K91" s="62"/>
      <c r="L91" s="62"/>
      <c r="M91" s="62"/>
      <c r="N91" s="62"/>
      <c r="O91" s="62"/>
      <c r="P91" s="62"/>
      <c r="Q91" s="62"/>
      <c r="R91" s="62"/>
    </row>
    <row r="92" spans="1:18" s="11" customFormat="1" ht="15" customHeight="1">
      <c r="A92" s="37" t="s">
        <v>179</v>
      </c>
      <c r="B92" s="234"/>
      <c r="C92" s="137">
        <f ca="1">C51*Assumptions!D24</f>
        <v>1744686.2788631541</v>
      </c>
      <c r="D92" s="137">
        <f ca="1">D51*Assumptions!D24</f>
        <v>1908350.7876851631</v>
      </c>
      <c r="E92" s="137">
        <f ca="1">E51*Assumptions!E24</f>
        <v>0</v>
      </c>
      <c r="F92" s="137">
        <f ca="1">F51*Assumptions!F24</f>
        <v>0</v>
      </c>
      <c r="G92" s="137">
        <f ca="1">G51*Assumptions!G24</f>
        <v>0</v>
      </c>
      <c r="H92" s="67"/>
      <c r="J92" s="26"/>
      <c r="K92" s="26"/>
      <c r="L92" s="26"/>
      <c r="M92" s="26"/>
      <c r="N92" s="26"/>
      <c r="O92" s="26"/>
      <c r="P92" s="26"/>
      <c r="Q92" s="26"/>
      <c r="R92" s="26"/>
    </row>
    <row r="93" spans="1:18" s="11" customFormat="1" ht="15" customHeight="1">
      <c r="A93" s="85" t="s">
        <v>128</v>
      </c>
      <c r="B93" s="234">
        <f>'Exhibit 1'!I87</f>
        <v>-10268593</v>
      </c>
      <c r="C93" s="137">
        <f>C76*Assumptions!$D$25</f>
        <v>-13528589.362233229</v>
      </c>
      <c r="D93" s="137">
        <f>D76*Assumptions!$D$25</f>
        <v>-12875040.817266161</v>
      </c>
      <c r="E93" s="137">
        <f>E76*Assumptions!$D$25</f>
        <v>-13376855.644419013</v>
      </c>
      <c r="F93" s="137">
        <f>F76*Assumptions!$D$25</f>
        <v>-13595357.618106872</v>
      </c>
      <c r="G93" s="137">
        <f>G76*Assumptions!$D$25</f>
        <v>-13817428.675126016</v>
      </c>
      <c r="H93" s="67">
        <f t="shared" si="29"/>
        <v>6.116583262677773E-2</v>
      </c>
      <c r="J93" s="26"/>
      <c r="K93" s="26"/>
      <c r="L93" s="26"/>
      <c r="M93" s="26"/>
      <c r="N93" s="26"/>
      <c r="O93" s="26"/>
      <c r="P93" s="26"/>
      <c r="Q93" s="26"/>
      <c r="R93" s="26"/>
    </row>
    <row r="94" spans="1:18" s="11" customFormat="1" ht="15" customHeight="1">
      <c r="A94" s="84" t="s">
        <v>62</v>
      </c>
      <c r="B94" s="234">
        <f>'Exhibit 1'!I88</f>
        <v>144600</v>
      </c>
      <c r="C94" s="137">
        <f>Assumptions!$D$26*C76</f>
        <v>52826.792752923939</v>
      </c>
      <c r="D94" s="137">
        <f>Assumptions!$D$26*D76</f>
        <v>50274.799147786449</v>
      </c>
      <c r="E94" s="137">
        <f>Assumptions!$D$26*E76</f>
        <v>52234.29892744212</v>
      </c>
      <c r="F94" s="137">
        <f>Assumptions!$D$26*F76</f>
        <v>53087.51120043316</v>
      </c>
      <c r="G94" s="137">
        <f>Assumptions!$D$26*G76</f>
        <v>53954.660124202142</v>
      </c>
      <c r="H94" s="67">
        <f t="shared" si="29"/>
        <v>-0.17894522031789706</v>
      </c>
      <c r="J94" s="26"/>
      <c r="K94" s="26"/>
      <c r="L94" s="26"/>
      <c r="M94" s="26"/>
      <c r="N94" s="26"/>
      <c r="O94" s="26"/>
      <c r="P94" s="26"/>
      <c r="Q94" s="26"/>
      <c r="R94" s="26"/>
    </row>
    <row r="95" spans="1:18" s="11" customFormat="1" ht="15" customHeight="1">
      <c r="A95" s="84" t="s">
        <v>153</v>
      </c>
      <c r="B95" s="234">
        <f>'Exhibit 1'!I89</f>
        <v>-7036824</v>
      </c>
      <c r="C95" s="137">
        <f>C74*Assumptions!$D$27</f>
        <v>266246.48391146882</v>
      </c>
      <c r="D95" s="137">
        <f>D74*Assumptions!$D$27</f>
        <v>253384.46278687951</v>
      </c>
      <c r="E95" s="137">
        <f>E74*Assumptions!$D$27</f>
        <v>263260.32121725421</v>
      </c>
      <c r="F95" s="137">
        <f>F74*Assumptions!$D$27</f>
        <v>267560.50216476026</v>
      </c>
      <c r="G95" s="137">
        <f>G74*Assumptions!$D$27</f>
        <v>271930.92368667497</v>
      </c>
      <c r="H95" s="67"/>
    </row>
    <row r="96" spans="1:18" s="11" customFormat="1" ht="15" customHeight="1">
      <c r="A96" s="86" t="s">
        <v>109</v>
      </c>
      <c r="B96" s="141">
        <f>'Exhibit 1'!I90</f>
        <v>-226746</v>
      </c>
      <c r="C96" s="266">
        <f>C74*Assumptions!$D$28</f>
        <v>-225588.82894662098</v>
      </c>
      <c r="D96" s="267">
        <f>D74*Assumptions!$D$28</f>
        <v>-214690.9262184572</v>
      </c>
      <c r="E96" s="267">
        <f>E74*Assumptions!$D$28</f>
        <v>-223058.67367344949</v>
      </c>
      <c r="F96" s="267">
        <f>F74*Assumptions!$D$28</f>
        <v>-226702.18764574683</v>
      </c>
      <c r="G96" s="267">
        <f>G74*Assumptions!$D$28</f>
        <v>-230405.21597741742</v>
      </c>
      <c r="H96" s="68">
        <f t="shared" si="29"/>
        <v>3.2069551309444901E-3</v>
      </c>
    </row>
    <row r="97" spans="1:8" s="11" customFormat="1" ht="15" customHeight="1">
      <c r="A97" s="37" t="s">
        <v>59</v>
      </c>
      <c r="B97" s="240">
        <f>SUM(B91:B96)</f>
        <v>14939456</v>
      </c>
      <c r="C97" s="238">
        <f t="shared" ref="C97:G97" ca="1" si="35">SUM(C91:C96)</f>
        <v>22935127.941782031</v>
      </c>
      <c r="D97" s="238">
        <f t="shared" ca="1" si="35"/>
        <v>23409574.288430873</v>
      </c>
      <c r="E97" s="238">
        <f t="shared" ca="1" si="35"/>
        <v>20093735.182928063</v>
      </c>
      <c r="F97" s="238">
        <f t="shared" ca="1" si="35"/>
        <v>18333279.202311728</v>
      </c>
      <c r="G97" s="238">
        <f t="shared" ca="1" si="35"/>
        <v>16252117.40885151</v>
      </c>
      <c r="H97" s="94">
        <f ca="1">RATE(5,,-B97,G97)</f>
        <v>1.6986138448013728E-2</v>
      </c>
    </row>
    <row r="98" spans="1:8" s="11" customFormat="1" ht="15" customHeight="1">
      <c r="A98" s="37"/>
      <c r="B98" s="241"/>
      <c r="C98" s="236"/>
      <c r="D98" s="236"/>
      <c r="E98" s="236"/>
      <c r="F98" s="236"/>
      <c r="G98" s="236"/>
      <c r="H98" s="94"/>
    </row>
    <row r="99" spans="1:8" s="11" customFormat="1" ht="15" customHeight="1">
      <c r="A99" s="37" t="s">
        <v>13</v>
      </c>
      <c r="B99" s="234">
        <f>B89-B97</f>
        <v>5065491</v>
      </c>
      <c r="C99" s="137">
        <f ca="1">C89-C97</f>
        <v>-5681615.3969478346</v>
      </c>
      <c r="D99" s="137">
        <f t="shared" ref="D99:G99" ca="1" si="36">D89-D97</f>
        <v>-2244981.3356145062</v>
      </c>
      <c r="E99" s="137">
        <f t="shared" ca="1" si="36"/>
        <v>4234230.9227023646</v>
      </c>
      <c r="F99" s="137">
        <f t="shared" ca="1" si="36"/>
        <v>-963692.96173316613</v>
      </c>
      <c r="G99" s="137">
        <f t="shared" ca="1" si="36"/>
        <v>6550775.6621140186</v>
      </c>
      <c r="H99" s="67">
        <f t="shared" ref="H99" ca="1" si="37">RATE(5,,-B99,G99)</f>
        <v>5.2771781885611983E-2</v>
      </c>
    </row>
    <row r="100" spans="1:8" s="11" customFormat="1" ht="15" customHeight="1">
      <c r="A100" s="37" t="s">
        <v>60</v>
      </c>
      <c r="B100" s="234">
        <f>'Exhibit 1'!I94</f>
        <v>0</v>
      </c>
      <c r="C100" s="236"/>
      <c r="D100" s="236"/>
      <c r="E100" s="236"/>
      <c r="F100" s="236"/>
      <c r="G100" s="236"/>
      <c r="H100" s="94"/>
    </row>
    <row r="101" spans="1:8" s="11" customFormat="1" ht="15" customHeight="1">
      <c r="A101" s="37" t="s">
        <v>19</v>
      </c>
      <c r="B101" s="235">
        <f>'Exhibit 1'!I95</f>
        <v>0</v>
      </c>
      <c r="C101" s="137"/>
      <c r="D101" s="137"/>
      <c r="E101" s="137"/>
      <c r="F101" s="137"/>
      <c r="G101" s="137"/>
      <c r="H101" s="67"/>
    </row>
    <row r="102" spans="1:8" s="11" customFormat="1" ht="15" customHeight="1" thickBot="1">
      <c r="A102" s="37" t="s">
        <v>22</v>
      </c>
      <c r="B102" s="242">
        <f>B99+B100-B101</f>
        <v>5065491</v>
      </c>
      <c r="C102" s="146">
        <f ca="1">C99-C101</f>
        <v>-5681615.3969478346</v>
      </c>
      <c r="D102" s="146">
        <f t="shared" ref="D102:G102" ca="1" si="38">D99-D101</f>
        <v>-2244981.3356145062</v>
      </c>
      <c r="E102" s="146">
        <f t="shared" ca="1" si="38"/>
        <v>4234230.9227023646</v>
      </c>
      <c r="F102" s="146">
        <f t="shared" ca="1" si="38"/>
        <v>-963692.96173316613</v>
      </c>
      <c r="G102" s="146">
        <f t="shared" ca="1" si="38"/>
        <v>6550775.6621140186</v>
      </c>
      <c r="H102" s="96"/>
    </row>
    <row r="103" spans="1:8" s="11" customFormat="1" ht="15" customHeight="1" thickTop="1">
      <c r="A103" s="37"/>
      <c r="B103" s="241"/>
      <c r="C103" s="236"/>
      <c r="D103" s="236"/>
      <c r="E103" s="236"/>
      <c r="F103" s="236"/>
      <c r="G103" s="236"/>
      <c r="H103" s="81"/>
    </row>
    <row r="104" spans="1:8" s="11" customFormat="1" ht="15" customHeight="1">
      <c r="A104" s="37" t="s">
        <v>63</v>
      </c>
      <c r="B104" s="159"/>
      <c r="H104" s="67"/>
    </row>
    <row r="105" spans="1:8" s="11" customFormat="1" ht="15" customHeight="1">
      <c r="A105" s="79" t="s">
        <v>111</v>
      </c>
      <c r="B105" s="159">
        <f>'Exhibit 1'!I99</f>
        <v>1000000</v>
      </c>
      <c r="C105" s="66">
        <f>B105</f>
        <v>1000000</v>
      </c>
      <c r="D105" s="217">
        <v>1000000</v>
      </c>
      <c r="E105" s="217">
        <v>1000000</v>
      </c>
      <c r="F105" s="217">
        <v>1000000</v>
      </c>
      <c r="G105" s="217">
        <v>1000000</v>
      </c>
      <c r="H105" s="37"/>
    </row>
    <row r="106" spans="1:8" s="11" customFormat="1" ht="15" customHeight="1">
      <c r="H106" s="37"/>
    </row>
    <row r="107" spans="1:8" s="11" customFormat="1" ht="15" customHeight="1">
      <c r="B107" s="66"/>
      <c r="H107" s="37"/>
    </row>
    <row r="108" spans="1:8" s="11" customFormat="1" ht="15" customHeight="1">
      <c r="B108" s="66"/>
      <c r="H108" s="73" t="str">
        <f>H64</f>
        <v>Exhibit 2</v>
      </c>
    </row>
    <row r="109" spans="1:8" s="11" customFormat="1" ht="15" customHeight="1">
      <c r="B109" s="66"/>
      <c r="H109" s="73" t="s">
        <v>102</v>
      </c>
    </row>
    <row r="110" spans="1:8" s="11" customFormat="1" ht="15" customHeight="1">
      <c r="A110" s="269" t="str">
        <f>A4</f>
        <v>Deseret Generation &amp; Transmission</v>
      </c>
      <c r="B110" s="269"/>
      <c r="C110" s="269"/>
      <c r="D110" s="269"/>
      <c r="E110" s="269"/>
      <c r="F110" s="269"/>
      <c r="G110" s="269"/>
      <c r="H110" s="269"/>
    </row>
    <row r="111" spans="1:8" s="11" customFormat="1" ht="15" customHeight="1">
      <c r="A111" s="273" t="s">
        <v>55</v>
      </c>
      <c r="B111" s="273"/>
      <c r="C111" s="273"/>
      <c r="D111" s="273"/>
      <c r="E111" s="273"/>
      <c r="F111" s="273"/>
      <c r="G111" s="273"/>
      <c r="H111" s="273"/>
    </row>
    <row r="112" spans="1:8" s="11" customFormat="1" ht="15" customHeight="1">
      <c r="A112" s="273" t="s">
        <v>54</v>
      </c>
      <c r="B112" s="273"/>
      <c r="C112" s="273"/>
      <c r="D112" s="273"/>
      <c r="E112" s="273"/>
      <c r="F112" s="273"/>
      <c r="G112" s="273"/>
      <c r="H112" s="273"/>
    </row>
    <row r="113" spans="1:8" s="11" customFormat="1" ht="15" customHeight="1">
      <c r="B113" s="66"/>
      <c r="H113" s="67"/>
    </row>
    <row r="114" spans="1:8" s="11" customFormat="1" ht="15" customHeight="1">
      <c r="A114" s="195"/>
      <c r="B114" s="196" t="str">
        <f>B71</f>
        <v>Historical</v>
      </c>
      <c r="C114" s="110" t="s">
        <v>57</v>
      </c>
      <c r="D114" s="110" t="s">
        <v>57</v>
      </c>
      <c r="E114" s="110" t="s">
        <v>57</v>
      </c>
      <c r="F114" s="110" t="s">
        <v>57</v>
      </c>
      <c r="G114" s="110" t="s">
        <v>57</v>
      </c>
      <c r="H114" s="197" t="s">
        <v>57</v>
      </c>
    </row>
    <row r="115" spans="1:8" s="11" customFormat="1" ht="15" customHeight="1">
      <c r="A115" s="173" t="str">
        <f>A72</f>
        <v>Account Name</v>
      </c>
      <c r="B115" s="198">
        <f>B72</f>
        <v>2010</v>
      </c>
      <c r="C115" s="114">
        <f t="shared" ref="C115:G115" si="39">C10</f>
        <v>2011</v>
      </c>
      <c r="D115" s="114">
        <f t="shared" si="39"/>
        <v>2012</v>
      </c>
      <c r="E115" s="114">
        <f t="shared" si="39"/>
        <v>2013</v>
      </c>
      <c r="F115" s="114">
        <f t="shared" si="39"/>
        <v>2014</v>
      </c>
      <c r="G115" s="114">
        <f t="shared" si="39"/>
        <v>2015</v>
      </c>
      <c r="H115" s="199" t="s">
        <v>3</v>
      </c>
    </row>
    <row r="116" spans="1:8" s="11" customFormat="1" ht="15" customHeight="1">
      <c r="A116" s="200" t="str">
        <f>A73</f>
        <v>Operating Sales and Revenues:</v>
      </c>
      <c r="B116" s="183"/>
      <c r="C116" s="37"/>
      <c r="D116" s="37"/>
      <c r="E116" s="37"/>
      <c r="F116" s="37"/>
      <c r="G116" s="37"/>
      <c r="H116" s="67"/>
    </row>
    <row r="117" spans="1:8" s="11" customFormat="1" ht="15" customHeight="1">
      <c r="A117" s="200" t="str">
        <f>A74</f>
        <v>Operating Revenues</v>
      </c>
      <c r="B117" s="179">
        <f>B74/B$76</f>
        <v>1</v>
      </c>
      <c r="C117" s="175">
        <f t="shared" ref="C117:G117" si="40">C74/C$76</f>
        <v>1</v>
      </c>
      <c r="D117" s="175">
        <f t="shared" si="40"/>
        <v>1</v>
      </c>
      <c r="E117" s="175">
        <f t="shared" si="40"/>
        <v>1</v>
      </c>
      <c r="F117" s="175">
        <f t="shared" si="40"/>
        <v>1</v>
      </c>
      <c r="G117" s="175">
        <f t="shared" si="40"/>
        <v>1</v>
      </c>
      <c r="H117" s="94">
        <f>G117</f>
        <v>1</v>
      </c>
    </row>
    <row r="118" spans="1:8" s="11" customFormat="1" ht="15" customHeight="1">
      <c r="A118" s="200"/>
      <c r="B118" s="184"/>
      <c r="C118" s="185"/>
      <c r="D118" s="185"/>
      <c r="E118" s="185"/>
      <c r="F118" s="185"/>
      <c r="G118" s="185"/>
      <c r="H118" s="68"/>
    </row>
    <row r="119" spans="1:8" s="11" customFormat="1" ht="15" customHeight="1">
      <c r="A119" s="200" t="str">
        <f>A76</f>
        <v>Total Revenues</v>
      </c>
      <c r="B119" s="179">
        <f>B76/B$76</f>
        <v>1</v>
      </c>
      <c r="C119" s="175">
        <f t="shared" ref="C119:G119" si="41">C76/C$76</f>
        <v>1</v>
      </c>
      <c r="D119" s="175">
        <f t="shared" si="41"/>
        <v>1</v>
      </c>
      <c r="E119" s="175">
        <f t="shared" si="41"/>
        <v>1</v>
      </c>
      <c r="F119" s="175">
        <f t="shared" si="41"/>
        <v>1</v>
      </c>
      <c r="G119" s="175">
        <f t="shared" si="41"/>
        <v>1</v>
      </c>
      <c r="H119" s="94">
        <f>G119</f>
        <v>1</v>
      </c>
    </row>
    <row r="120" spans="1:8" s="11" customFormat="1" ht="15" customHeight="1">
      <c r="A120" s="200"/>
      <c r="B120" s="183"/>
      <c r="C120" s="186"/>
      <c r="D120" s="186"/>
      <c r="E120" s="186"/>
      <c r="F120" s="186"/>
      <c r="G120" s="186"/>
      <c r="H120" s="94"/>
    </row>
    <row r="121" spans="1:8" s="11" customFormat="1" ht="15" customHeight="1">
      <c r="A121" s="200" t="str">
        <f t="shared" ref="A121:A130" si="42">A78</f>
        <v>Operating Expenses:</v>
      </c>
      <c r="B121" s="183"/>
      <c r="C121" s="186"/>
      <c r="D121" s="186"/>
      <c r="E121" s="186"/>
      <c r="F121" s="186"/>
      <c r="G121" s="186"/>
      <c r="H121" s="94"/>
    </row>
    <row r="122" spans="1:8" s="11" customFormat="1" ht="15" customHeight="1">
      <c r="A122" s="200" t="str">
        <f t="shared" si="42"/>
        <v>Fuel (5)</v>
      </c>
      <c r="B122" s="179">
        <f t="shared" ref="B122:G129" si="43">B79/B$76</f>
        <v>0.40063735598601857</v>
      </c>
      <c r="C122" s="175">
        <f t="shared" si="43"/>
        <v>0.34834761360875494</v>
      </c>
      <c r="D122" s="175">
        <f t="shared" si="43"/>
        <v>0.34834761360875494</v>
      </c>
      <c r="E122" s="175">
        <f t="shared" si="43"/>
        <v>0.34834761360875499</v>
      </c>
      <c r="F122" s="175">
        <f t="shared" si="43"/>
        <v>0.34834761360875494</v>
      </c>
      <c r="G122" s="175">
        <f t="shared" si="43"/>
        <v>0.34834761360875494</v>
      </c>
      <c r="H122" s="94">
        <f t="shared" ref="H122:H129" si="44">SUM(C79:G79)/SUM(C$76:G$76)</f>
        <v>0.34834761360875499</v>
      </c>
    </row>
    <row r="123" spans="1:8" s="11" customFormat="1" ht="15" customHeight="1">
      <c r="A123" s="200" t="str">
        <f t="shared" si="42"/>
        <v>Power Production (21 - 5)</v>
      </c>
      <c r="B123" s="179">
        <f t="shared" si="43"/>
        <v>0.10105469460877819</v>
      </c>
      <c r="C123" s="175">
        <f t="shared" si="43"/>
        <v>0.12216661534568241</v>
      </c>
      <c r="D123" s="175">
        <f t="shared" si="43"/>
        <v>0.12216661534568242</v>
      </c>
      <c r="E123" s="175">
        <f t="shared" si="43"/>
        <v>0.12216661534568241</v>
      </c>
      <c r="F123" s="175">
        <f t="shared" si="43"/>
        <v>0.12216661534568242</v>
      </c>
      <c r="G123" s="175">
        <f t="shared" si="43"/>
        <v>0.12216661534568241</v>
      </c>
      <c r="H123" s="94">
        <f t="shared" si="44"/>
        <v>0.12216661534568241</v>
      </c>
    </row>
    <row r="124" spans="1:8" s="11" customFormat="1" ht="15" customHeight="1">
      <c r="A124" s="200" t="str">
        <f t="shared" si="42"/>
        <v>Cost of Purchased Power (79)</v>
      </c>
      <c r="B124" s="179">
        <f t="shared" si="43"/>
        <v>0.23130119204601784</v>
      </c>
      <c r="C124" s="205">
        <f t="shared" si="43"/>
        <v>0.24201706988892557</v>
      </c>
      <c r="D124" s="205">
        <f t="shared" si="43"/>
        <v>0.2420170698889256</v>
      </c>
      <c r="E124" s="205">
        <f t="shared" si="43"/>
        <v>0.2420170698889256</v>
      </c>
      <c r="F124" s="205">
        <f t="shared" si="43"/>
        <v>0.2420170698889256</v>
      </c>
      <c r="G124" s="205">
        <f t="shared" si="43"/>
        <v>0.2420170698889256</v>
      </c>
      <c r="H124" s="169">
        <f t="shared" si="44"/>
        <v>0.24201706988892557</v>
      </c>
    </row>
    <row r="125" spans="1:8" s="11" customFormat="1" ht="15" customHeight="1">
      <c r="A125" s="200" t="str">
        <f t="shared" si="42"/>
        <v>Operations / Transmission (99)</v>
      </c>
      <c r="B125" s="179">
        <f t="shared" si="43"/>
        <v>3.6872059724260026E-2</v>
      </c>
      <c r="C125" s="175">
        <f t="shared" si="43"/>
        <v>4.0275865322775849E-2</v>
      </c>
      <c r="D125" s="175">
        <f t="shared" si="43"/>
        <v>4.0275865322775849E-2</v>
      </c>
      <c r="E125" s="175">
        <f t="shared" si="43"/>
        <v>4.0275865322775849E-2</v>
      </c>
      <c r="F125" s="175">
        <f t="shared" si="43"/>
        <v>4.0275865322775849E-2</v>
      </c>
      <c r="G125" s="175">
        <f t="shared" si="43"/>
        <v>4.0275865322775849E-2</v>
      </c>
      <c r="H125" s="94">
        <f t="shared" si="44"/>
        <v>4.0275865322775849E-2</v>
      </c>
    </row>
    <row r="126" spans="1:8" s="11" customFormat="1" ht="15" customHeight="1">
      <c r="A126" s="200" t="str">
        <f t="shared" si="42"/>
        <v>Maintenance (111+156)</v>
      </c>
      <c r="B126" s="179">
        <f t="shared" si="43"/>
        <v>6.4440213259768257E-3</v>
      </c>
      <c r="C126" s="175">
        <f t="shared" si="43"/>
        <v>5.808992202027634E-3</v>
      </c>
      <c r="D126" s="175">
        <f t="shared" si="43"/>
        <v>5.8089922020276349E-3</v>
      </c>
      <c r="E126" s="175">
        <f t="shared" si="43"/>
        <v>5.8089922020276349E-3</v>
      </c>
      <c r="F126" s="175">
        <f t="shared" si="43"/>
        <v>5.8089922020276349E-3</v>
      </c>
      <c r="G126" s="175">
        <f t="shared" si="43"/>
        <v>5.8089922020276349E-3</v>
      </c>
      <c r="H126" s="94">
        <f t="shared" si="44"/>
        <v>5.8089922020276349E-3</v>
      </c>
    </row>
    <row r="127" spans="1:8" s="11" customFormat="1" ht="15" customHeight="1">
      <c r="A127" s="200" t="str">
        <f t="shared" si="42"/>
        <v>Sales General &amp; Admin(164, 178, 197)</v>
      </c>
      <c r="B127" s="179">
        <f t="shared" si="43"/>
        <v>6.515162795934458E-2</v>
      </c>
      <c r="C127" s="175">
        <f t="shared" si="43"/>
        <v>6.515162795934458E-2</v>
      </c>
      <c r="D127" s="175">
        <f t="shared" si="43"/>
        <v>6.515162795934458E-2</v>
      </c>
      <c r="E127" s="175">
        <f t="shared" si="43"/>
        <v>6.515162795934458E-2</v>
      </c>
      <c r="F127" s="175">
        <f t="shared" si="43"/>
        <v>6.515162795934458E-2</v>
      </c>
      <c r="G127" s="175">
        <f t="shared" si="43"/>
        <v>6.515162795934458E-2</v>
      </c>
      <c r="H127" s="94">
        <f t="shared" si="44"/>
        <v>6.515162795934458E-2</v>
      </c>
    </row>
    <row r="128" spans="1:8" s="11" customFormat="1" ht="15" customHeight="1">
      <c r="A128" s="200" t="str">
        <f t="shared" si="42"/>
        <v>Depreciation and Amortization (6, 9)</v>
      </c>
      <c r="B128" s="179">
        <f t="shared" si="43"/>
        <v>6.027525205226951E-2</v>
      </c>
      <c r="C128" s="175">
        <f t="shared" si="43"/>
        <v>5.7888268403457691E-2</v>
      </c>
      <c r="D128" s="175">
        <f t="shared" si="43"/>
        <v>5.7888268403457691E-2</v>
      </c>
      <c r="E128" s="175">
        <f t="shared" si="43"/>
        <v>5.7888268403457691E-2</v>
      </c>
      <c r="F128" s="175">
        <f t="shared" si="43"/>
        <v>5.7888268403457691E-2</v>
      </c>
      <c r="G128" s="175">
        <f t="shared" si="43"/>
        <v>5.7888268403457691E-2</v>
      </c>
      <c r="H128" s="94">
        <f t="shared" si="44"/>
        <v>5.7888268403457684E-2</v>
      </c>
    </row>
    <row r="129" spans="1:8" s="11" customFormat="1" ht="15" customHeight="1">
      <c r="A129" s="200" t="str">
        <f t="shared" si="42"/>
        <v>Taxes, other than income taxes (14)</v>
      </c>
      <c r="B129" s="247">
        <f t="shared" si="43"/>
        <v>1.7091793252236333E-2</v>
      </c>
      <c r="C129" s="248">
        <f t="shared" si="43"/>
        <v>1.6988584844969602E-2</v>
      </c>
      <c r="D129" s="247">
        <f t="shared" si="43"/>
        <v>1.6988584844969602E-2</v>
      </c>
      <c r="E129" s="247">
        <f t="shared" si="43"/>
        <v>1.6988584844969602E-2</v>
      </c>
      <c r="F129" s="247">
        <f t="shared" si="43"/>
        <v>1.6988584844969602E-2</v>
      </c>
      <c r="G129" s="247">
        <f t="shared" si="43"/>
        <v>1.6988584844969602E-2</v>
      </c>
      <c r="H129" s="94">
        <f t="shared" si="44"/>
        <v>1.6988584844969602E-2</v>
      </c>
    </row>
    <row r="130" spans="1:8" s="11" customFormat="1" ht="15" customHeight="1">
      <c r="A130" s="200" t="str">
        <f t="shared" si="42"/>
        <v>Provision for Deferred Income Taxes 17</v>
      </c>
      <c r="B130" s="180"/>
      <c r="C130" s="176"/>
      <c r="D130" s="176"/>
      <c r="E130" s="176"/>
      <c r="F130" s="176"/>
      <c r="G130" s="176"/>
      <c r="H130" s="68"/>
    </row>
    <row r="131" spans="1:8" s="11" customFormat="1" ht="15" customHeight="1">
      <c r="A131" s="200" t="str">
        <f t="shared" ref="A131:A148" si="45">A88</f>
        <v>Total Operating Expenses</v>
      </c>
      <c r="B131" s="181">
        <f t="shared" ref="B131:G132" si="46">B88/B$76</f>
        <v>0.91422794884439273</v>
      </c>
      <c r="C131" s="177">
        <f t="shared" si="46"/>
        <v>0.92564537982690465</v>
      </c>
      <c r="D131" s="177">
        <f t="shared" si="46"/>
        <v>0.90416056252506394</v>
      </c>
      <c r="E131" s="177">
        <f t="shared" si="46"/>
        <v>0.89396854723751706</v>
      </c>
      <c r="F131" s="177">
        <f t="shared" si="46"/>
        <v>0.9255127762928137</v>
      </c>
      <c r="G131" s="177">
        <f t="shared" si="46"/>
        <v>0.90378436078600399</v>
      </c>
      <c r="H131" s="68">
        <f t="shared" ref="H131:H132" si="47">SUM(C88:G88)/SUM(C$76:G$76)</f>
        <v>0.91070013086487867</v>
      </c>
    </row>
    <row r="132" spans="1:8" s="11" customFormat="1" ht="15" customHeight="1">
      <c r="A132" s="200" t="str">
        <f t="shared" si="45"/>
        <v>Earnings From Operations</v>
      </c>
      <c r="B132" s="179">
        <f t="shared" si="46"/>
        <v>8.5772051155607265E-2</v>
      </c>
      <c r="C132" s="175">
        <f t="shared" si="46"/>
        <v>7.4354620173095326E-2</v>
      </c>
      <c r="D132" s="175">
        <f t="shared" si="46"/>
        <v>9.5839437474936034E-2</v>
      </c>
      <c r="E132" s="175">
        <f t="shared" si="46"/>
        <v>0.10603145276248291</v>
      </c>
      <c r="F132" s="175">
        <f t="shared" si="46"/>
        <v>7.4487223707186245E-2</v>
      </c>
      <c r="G132" s="175">
        <f t="shared" si="46"/>
        <v>9.6215639213995993E-2</v>
      </c>
      <c r="H132" s="94">
        <f t="shared" si="47"/>
        <v>8.929986913512121E-2</v>
      </c>
    </row>
    <row r="133" spans="1:8" s="11" customFormat="1" ht="15" customHeight="1">
      <c r="A133" s="200"/>
      <c r="B133" s="183"/>
      <c r="C133" s="186"/>
      <c r="D133" s="186"/>
      <c r="E133" s="186"/>
      <c r="F133" s="186"/>
      <c r="G133" s="186"/>
      <c r="H133" s="94"/>
    </row>
    <row r="134" spans="1:8" s="11" customFormat="1" ht="15" customHeight="1">
      <c r="A134" s="200" t="str">
        <f t="shared" si="45"/>
        <v xml:space="preserve">   Interest expense </v>
      </c>
      <c r="B134" s="179">
        <f t="shared" ref="B134:G140" si="48">B91/B$76</f>
        <v>0.13860345280476316</v>
      </c>
      <c r="C134" s="175">
        <f t="shared" si="48"/>
        <v>0.14922001287336656</v>
      </c>
      <c r="D134" s="175">
        <f t="shared" si="48"/>
        <v>0.15526285654563338</v>
      </c>
      <c r="E134" s="175">
        <f t="shared" si="48"/>
        <v>0.14547596117093126</v>
      </c>
      <c r="F134" s="175">
        <f t="shared" si="48"/>
        <v>0.13651895427604147</v>
      </c>
      <c r="G134" s="175">
        <f t="shared" si="48"/>
        <v>0.12647403484048395</v>
      </c>
      <c r="H134" s="94">
        <f t="shared" ref="H134:H140" si="49">SUM(C91:G91)/SUM(C$76:G$76)</f>
        <v>0.14238527884985105</v>
      </c>
    </row>
    <row r="135" spans="1:8" s="11" customFormat="1" ht="15" customHeight="1">
      <c r="A135" s="200" t="str">
        <f t="shared" si="45"/>
        <v xml:space="preserve">   Interest on (Surplus Cash)/Add. Loans</v>
      </c>
      <c r="B135" s="179">
        <f t="shared" si="48"/>
        <v>0</v>
      </c>
      <c r="C135" s="175">
        <f t="shared" ca="1" si="48"/>
        <v>7.5187869860691911E-3</v>
      </c>
      <c r="D135" s="175">
        <f t="shared" ca="1" si="48"/>
        <v>8.6415678489228532E-3</v>
      </c>
      <c r="E135" s="175">
        <f t="shared" ca="1" si="48"/>
        <v>0</v>
      </c>
      <c r="F135" s="175">
        <f t="shared" ca="1" si="48"/>
        <v>0</v>
      </c>
      <c r="G135" s="175">
        <f t="shared" ca="1" si="48"/>
        <v>0</v>
      </c>
      <c r="H135" s="94">
        <f t="shared" ca="1" si="49"/>
        <v>3.1696494858199707E-3</v>
      </c>
    </row>
    <row r="136" spans="1:8" s="11" customFormat="1" ht="15" customHeight="1">
      <c r="A136" s="200" t="str">
        <f t="shared" si="45"/>
        <v xml:space="preserve">   Interest and Other (Income)</v>
      </c>
      <c r="B136" s="179">
        <f t="shared" si="48"/>
        <v>-4.4027024120189405E-2</v>
      </c>
      <c r="C136" s="175">
        <f t="shared" si="48"/>
        <v>-5.8301932484339597E-2</v>
      </c>
      <c r="D136" s="175">
        <f t="shared" si="48"/>
        <v>-5.8301932484339597E-2</v>
      </c>
      <c r="E136" s="175">
        <f t="shared" si="48"/>
        <v>-5.8301932484339597E-2</v>
      </c>
      <c r="F136" s="175">
        <f t="shared" si="48"/>
        <v>-5.8301932484339597E-2</v>
      </c>
      <c r="G136" s="175">
        <f t="shared" si="48"/>
        <v>-5.8301932484339597E-2</v>
      </c>
      <c r="H136" s="94">
        <f t="shared" si="49"/>
        <v>-5.8301932484339597E-2</v>
      </c>
    </row>
    <row r="137" spans="1:8" s="11" customFormat="1" ht="15" customHeight="1">
      <c r="A137" s="200" t="str">
        <f t="shared" si="45"/>
        <v xml:space="preserve">   Loss (Gain) on Sale of Assets</v>
      </c>
      <c r="B137" s="179">
        <f t="shared" si="48"/>
        <v>6.1997857815373428E-4</v>
      </c>
      <c r="C137" s="175">
        <f t="shared" si="48"/>
        <v>2.276589245175195E-4</v>
      </c>
      <c r="D137" s="175">
        <f t="shared" si="48"/>
        <v>2.276589245175195E-4</v>
      </c>
      <c r="E137" s="175">
        <f t="shared" si="48"/>
        <v>2.276589245175195E-4</v>
      </c>
      <c r="F137" s="175">
        <f t="shared" si="48"/>
        <v>2.276589245175195E-4</v>
      </c>
      <c r="G137" s="175">
        <f t="shared" si="48"/>
        <v>2.276589245175195E-4</v>
      </c>
      <c r="H137" s="94">
        <f t="shared" si="49"/>
        <v>2.276589245175195E-4</v>
      </c>
    </row>
    <row r="138" spans="1:8" s="11" customFormat="1" ht="15" customHeight="1">
      <c r="A138" s="200" t="str">
        <f t="shared" si="45"/>
        <v xml:space="preserve">   Equity in Earnings of Subsidiary Co</v>
      </c>
      <c r="B138" s="179">
        <f t="shared" si="48"/>
        <v>-3.0170678687676852E-2</v>
      </c>
      <c r="C138" s="175">
        <f t="shared" si="48"/>
        <v>1.1473986025869634E-3</v>
      </c>
      <c r="D138" s="175">
        <f t="shared" si="48"/>
        <v>1.1473986025869634E-3</v>
      </c>
      <c r="E138" s="175">
        <f t="shared" si="48"/>
        <v>1.1473986025869636E-3</v>
      </c>
      <c r="F138" s="175">
        <f t="shared" si="48"/>
        <v>1.1473986025869634E-3</v>
      </c>
      <c r="G138" s="175">
        <f t="shared" si="48"/>
        <v>1.1473986025869634E-3</v>
      </c>
      <c r="H138" s="94">
        <f t="shared" si="49"/>
        <v>1.1473986025869636E-3</v>
      </c>
    </row>
    <row r="139" spans="1:8" s="11" customFormat="1" ht="15" customHeight="1">
      <c r="A139" s="200" t="str">
        <f t="shared" si="45"/>
        <v xml:space="preserve">   Other (Income) Expense</v>
      </c>
      <c r="B139" s="180">
        <f t="shared" si="48"/>
        <v>-9.7218300609990752E-4</v>
      </c>
      <c r="C139" s="176">
        <f t="shared" si="48"/>
        <v>-9.7218300609990752E-4</v>
      </c>
      <c r="D139" s="176">
        <f t="shared" si="48"/>
        <v>-9.7218300609990752E-4</v>
      </c>
      <c r="E139" s="176">
        <f t="shared" si="48"/>
        <v>-9.7218300609990752E-4</v>
      </c>
      <c r="F139" s="176">
        <f t="shared" si="48"/>
        <v>-9.7218300609990752E-4</v>
      </c>
      <c r="G139" s="176">
        <f t="shared" si="48"/>
        <v>-9.7218300609990752E-4</v>
      </c>
      <c r="H139" s="68">
        <f t="shared" si="49"/>
        <v>-9.7218300609990752E-4</v>
      </c>
    </row>
    <row r="140" spans="1:8" s="11" customFormat="1" ht="15" customHeight="1">
      <c r="A140" s="200" t="str">
        <f t="shared" si="45"/>
        <v>Total Other Income/Expense</v>
      </c>
      <c r="B140" s="179">
        <f t="shared" si="48"/>
        <v>6.4053545568950723E-2</v>
      </c>
      <c r="C140" s="175">
        <f t="shared" ca="1" si="48"/>
        <v>9.8839741896100744E-2</v>
      </c>
      <c r="D140" s="175">
        <f t="shared" ca="1" si="48"/>
        <v>0.10600536643122119</v>
      </c>
      <c r="E140" s="175">
        <f t="shared" ca="1" si="48"/>
        <v>8.7576903207596229E-2</v>
      </c>
      <c r="F140" s="175">
        <f t="shared" ca="1" si="48"/>
        <v>7.8619896312706425E-2</v>
      </c>
      <c r="G140" s="175">
        <f t="shared" ca="1" si="48"/>
        <v>6.8574976877148919E-2</v>
      </c>
      <c r="H140" s="94">
        <f t="shared" ca="1" si="49"/>
        <v>8.7655870372336006E-2</v>
      </c>
    </row>
    <row r="141" spans="1:8" s="11" customFormat="1" ht="15" customHeight="1">
      <c r="A141" s="200"/>
      <c r="B141" s="183"/>
      <c r="C141" s="186"/>
      <c r="D141" s="186"/>
      <c r="E141" s="186"/>
      <c r="F141" s="186"/>
      <c r="G141" s="186"/>
      <c r="H141" s="94"/>
    </row>
    <row r="142" spans="1:8" s="11" customFormat="1" ht="15" customHeight="1">
      <c r="A142" s="200" t="str">
        <f t="shared" si="45"/>
        <v>Earnings Before Taxes</v>
      </c>
      <c r="B142" s="179">
        <f t="shared" ref="B142:G145" si="50">B99/B$76</f>
        <v>2.1718505586656552E-2</v>
      </c>
      <c r="C142" s="175">
        <f t="shared" ca="1" si="50"/>
        <v>-2.4485121723005428E-2</v>
      </c>
      <c r="D142" s="175">
        <f t="shared" ca="1" si="50"/>
        <v>-1.0165928956285165E-2</v>
      </c>
      <c r="E142" s="175">
        <f t="shared" ca="1" si="50"/>
        <v>1.8454549554886675E-2</v>
      </c>
      <c r="F142" s="175">
        <f t="shared" ca="1" si="50"/>
        <v>-4.132672605520177E-3</v>
      </c>
      <c r="G142" s="175">
        <f t="shared" ca="1" si="50"/>
        <v>2.7640662336847081E-2</v>
      </c>
      <c r="H142" s="94">
        <f t="shared" ref="H142:H145" ca="1" si="51">SUM(C99:G99)/SUM(C$76:G$76)</f>
        <v>1.6439987627851998E-3</v>
      </c>
    </row>
    <row r="143" spans="1:8" s="11" customFormat="1" ht="15" customHeight="1">
      <c r="A143" s="200" t="str">
        <f t="shared" si="45"/>
        <v>Extraordinary Items</v>
      </c>
      <c r="B143" s="179">
        <f t="shared" si="50"/>
        <v>0</v>
      </c>
      <c r="C143" s="175">
        <f t="shared" si="50"/>
        <v>0</v>
      </c>
      <c r="D143" s="175">
        <f t="shared" si="50"/>
        <v>0</v>
      </c>
      <c r="E143" s="175">
        <f t="shared" si="50"/>
        <v>0</v>
      </c>
      <c r="F143" s="175">
        <f t="shared" si="50"/>
        <v>0</v>
      </c>
      <c r="G143" s="175">
        <f t="shared" si="50"/>
        <v>0</v>
      </c>
      <c r="H143" s="94">
        <f t="shared" si="51"/>
        <v>0</v>
      </c>
    </row>
    <row r="144" spans="1:8" s="11" customFormat="1" ht="15" customHeight="1">
      <c r="A144" s="200" t="str">
        <f t="shared" si="45"/>
        <v>Income Taxes</v>
      </c>
      <c r="B144" s="179">
        <f t="shared" si="50"/>
        <v>0</v>
      </c>
      <c r="C144" s="175">
        <f t="shared" si="50"/>
        <v>0</v>
      </c>
      <c r="D144" s="175">
        <f t="shared" si="50"/>
        <v>0</v>
      </c>
      <c r="E144" s="175">
        <f t="shared" si="50"/>
        <v>0</v>
      </c>
      <c r="F144" s="175">
        <f t="shared" si="50"/>
        <v>0</v>
      </c>
      <c r="G144" s="175">
        <f t="shared" si="50"/>
        <v>0</v>
      </c>
      <c r="H144" s="94">
        <f t="shared" si="51"/>
        <v>0</v>
      </c>
    </row>
    <row r="145" spans="1:8" s="11" customFormat="1" ht="15" customHeight="1" thickBot="1">
      <c r="A145" s="200" t="str">
        <f t="shared" si="45"/>
        <v>Net Income</v>
      </c>
      <c r="B145" s="182">
        <f t="shared" si="50"/>
        <v>2.1718505586656552E-2</v>
      </c>
      <c r="C145" s="178">
        <f t="shared" ca="1" si="50"/>
        <v>-2.4485121723005428E-2</v>
      </c>
      <c r="D145" s="178">
        <f t="shared" ca="1" si="50"/>
        <v>-1.0165928956285165E-2</v>
      </c>
      <c r="E145" s="178">
        <f t="shared" ca="1" si="50"/>
        <v>1.8454549554886675E-2</v>
      </c>
      <c r="F145" s="178">
        <f t="shared" ca="1" si="50"/>
        <v>-4.132672605520177E-3</v>
      </c>
      <c r="G145" s="178">
        <f t="shared" ca="1" si="50"/>
        <v>2.7640662336847081E-2</v>
      </c>
      <c r="H145" s="96">
        <f t="shared" ca="1" si="51"/>
        <v>1.6439987627851998E-3</v>
      </c>
    </row>
    <row r="146" spans="1:8" s="11" customFormat="1" ht="15" customHeight="1" thickTop="1">
      <c r="A146" s="200"/>
      <c r="B146" s="187"/>
      <c r="C146" s="186"/>
      <c r="D146" s="186"/>
      <c r="E146" s="186"/>
      <c r="F146" s="186"/>
      <c r="G146" s="186"/>
      <c r="H146" s="94"/>
    </row>
    <row r="147" spans="1:8" s="11" customFormat="1" ht="15" customHeight="1">
      <c r="A147" s="200" t="str">
        <f t="shared" si="45"/>
        <v>Preferred Stock Dividends</v>
      </c>
      <c r="B147" s="183"/>
      <c r="C147" s="186"/>
      <c r="D147" s="186"/>
      <c r="E147" s="186"/>
      <c r="F147" s="186"/>
      <c r="G147" s="186"/>
      <c r="H147" s="94"/>
    </row>
    <row r="148" spans="1:8" s="11" customFormat="1" ht="15" customHeight="1">
      <c r="A148" s="200" t="str">
        <f t="shared" si="45"/>
        <v>Return of Patrons Capital</v>
      </c>
      <c r="B148" s="204">
        <f>B105/B$102</f>
        <v>0.19741422894641408</v>
      </c>
      <c r="C148" s="205">
        <f t="shared" ref="C148:G148" ca="1" si="52">C105/C$102</f>
        <v>-0.17600628168833821</v>
      </c>
      <c r="D148" s="205">
        <f ca="1">D105/D$102</f>
        <v>-0.44543800170448883</v>
      </c>
      <c r="E148" s="205">
        <f t="shared" ca="1" si="52"/>
        <v>0.23617039747132673</v>
      </c>
      <c r="F148" s="205">
        <f t="shared" ca="1" si="52"/>
        <v>-1.0376749023895919</v>
      </c>
      <c r="G148" s="205">
        <f t="shared" ca="1" si="52"/>
        <v>0.15265367821759404</v>
      </c>
      <c r="H148" s="169">
        <f>SUM(C105:G105)/SUM(C$76:G$76)</f>
        <v>4.3383757515700633E-3</v>
      </c>
    </row>
    <row r="149" spans="1:8" s="11" customFormat="1" ht="15" customHeight="1">
      <c r="A149" s="174"/>
      <c r="B149" s="186"/>
      <c r="C149" s="94"/>
      <c r="D149" s="94"/>
      <c r="E149" s="94"/>
      <c r="F149" s="94"/>
      <c r="G149" s="94"/>
      <c r="H149" s="94"/>
    </row>
    <row r="150" spans="1:8" s="11" customFormat="1" ht="15" customHeight="1">
      <c r="A150" s="174"/>
      <c r="B150" s="66"/>
      <c r="C150" s="15"/>
      <c r="D150" s="15"/>
      <c r="E150" s="15"/>
      <c r="F150" s="15"/>
      <c r="G150" s="15"/>
      <c r="H150" s="67"/>
    </row>
    <row r="151" spans="1:8" s="11" customFormat="1" ht="15" customHeight="1">
      <c r="A151" s="174"/>
      <c r="B151" s="66"/>
      <c r="C151" s="15"/>
      <c r="D151" s="15"/>
      <c r="E151" s="15"/>
      <c r="F151" s="15"/>
      <c r="G151" s="15"/>
      <c r="H151" s="73" t="str">
        <f>H108</f>
        <v>Exhibit 2</v>
      </c>
    </row>
    <row r="152" spans="1:8" s="11" customFormat="1" ht="15" customHeight="1">
      <c r="A152" s="174"/>
      <c r="B152" s="66"/>
      <c r="C152" s="42"/>
      <c r="D152" s="42"/>
      <c r="E152" s="42"/>
      <c r="F152" s="42"/>
      <c r="G152" s="42"/>
      <c r="H152" s="73" t="s">
        <v>101</v>
      </c>
    </row>
    <row r="153" spans="1:8" s="11" customFormat="1" ht="15" customHeight="1">
      <c r="A153" s="277" t="str">
        <f>A110</f>
        <v>Deseret Generation &amp; Transmission</v>
      </c>
      <c r="B153" s="277"/>
      <c r="C153" s="277"/>
      <c r="D153" s="277"/>
      <c r="E153" s="277"/>
      <c r="F153" s="277"/>
      <c r="G153" s="277"/>
      <c r="H153" s="277"/>
    </row>
    <row r="154" spans="1:8" s="11" customFormat="1" ht="15" customHeight="1">
      <c r="A154" s="275" t="str">
        <f>A111</f>
        <v>Common Size</v>
      </c>
      <c r="B154" s="275"/>
      <c r="C154" s="275"/>
      <c r="D154" s="275"/>
      <c r="E154" s="275"/>
      <c r="F154" s="275"/>
      <c r="G154" s="275"/>
      <c r="H154" s="275"/>
    </row>
    <row r="155" spans="1:8" s="11" customFormat="1" ht="15" customHeight="1">
      <c r="A155" s="276" t="s">
        <v>52</v>
      </c>
      <c r="B155" s="275"/>
      <c r="C155" s="275"/>
      <c r="D155" s="275"/>
      <c r="E155" s="275"/>
      <c r="F155" s="275"/>
      <c r="G155" s="275"/>
      <c r="H155" s="275"/>
    </row>
    <row r="156" spans="1:8" s="11" customFormat="1" ht="15" customHeight="1">
      <c r="A156" s="174"/>
      <c r="B156" s="166"/>
      <c r="C156" s="42"/>
      <c r="D156" s="42"/>
      <c r="E156" s="42"/>
      <c r="F156" s="42"/>
      <c r="G156" s="42"/>
      <c r="H156" s="94"/>
    </row>
    <row r="157" spans="1:8" s="11" customFormat="1" ht="15" customHeight="1">
      <c r="A157" s="174"/>
      <c r="B157" s="189" t="str">
        <f>B114</f>
        <v>Historical</v>
      </c>
      <c r="C157" s="249" t="str">
        <f t="shared" ref="C157:G157" si="53">C114</f>
        <v>Forecast</v>
      </c>
      <c r="D157" s="189" t="str">
        <f t="shared" si="53"/>
        <v>Forecast</v>
      </c>
      <c r="E157" s="189" t="str">
        <f t="shared" si="53"/>
        <v>Forecast</v>
      </c>
      <c r="F157" s="189" t="str">
        <f t="shared" si="53"/>
        <v>Forecast</v>
      </c>
      <c r="G157" s="189" t="str">
        <f t="shared" si="53"/>
        <v>Forecast</v>
      </c>
      <c r="H157" s="89" t="s">
        <v>57</v>
      </c>
    </row>
    <row r="158" spans="1:8" s="11" customFormat="1" ht="15" customHeight="1">
      <c r="A158" s="190" t="str">
        <f>A10</f>
        <v>Account Name</v>
      </c>
      <c r="B158" s="134">
        <f>B115</f>
        <v>2010</v>
      </c>
      <c r="C158" s="250">
        <f t="shared" ref="C158:G158" si="54">C115</f>
        <v>2011</v>
      </c>
      <c r="D158" s="134">
        <f t="shared" si="54"/>
        <v>2012</v>
      </c>
      <c r="E158" s="134">
        <f t="shared" si="54"/>
        <v>2013</v>
      </c>
      <c r="F158" s="134">
        <f t="shared" si="54"/>
        <v>2014</v>
      </c>
      <c r="G158" s="134">
        <f t="shared" si="54"/>
        <v>2015</v>
      </c>
      <c r="H158" s="191" t="s">
        <v>3</v>
      </c>
    </row>
    <row r="159" spans="1:8" s="11" customFormat="1" ht="15" customHeight="1">
      <c r="A159" s="188"/>
      <c r="B159" s="166"/>
      <c r="C159" s="251"/>
      <c r="D159" s="166"/>
      <c r="E159" s="166"/>
      <c r="F159" s="166"/>
      <c r="G159" s="166"/>
      <c r="H159" s="94"/>
    </row>
    <row r="160" spans="1:8" s="11" customFormat="1" ht="15" customHeight="1">
      <c r="A160" s="203" t="str">
        <f t="shared" ref="A160:A168" si="55">A12</f>
        <v>Current Assets:</v>
      </c>
      <c r="B160" s="166"/>
      <c r="C160" s="251"/>
      <c r="D160" s="166"/>
      <c r="E160" s="166"/>
      <c r="F160" s="166"/>
      <c r="G160" s="166"/>
      <c r="H160" s="94"/>
    </row>
    <row r="161" spans="1:20" s="11" customFormat="1" ht="15" customHeight="1">
      <c r="A161" s="202" t="str">
        <f t="shared" si="55"/>
        <v xml:space="preserve">Unrestricted Cash </v>
      </c>
      <c r="B161" s="104">
        <f>B13/B$38</f>
        <v>3.0894100880559338E-2</v>
      </c>
      <c r="C161" s="252">
        <f t="shared" ref="C161:G161" ca="1" si="56">C13/C$38</f>
        <v>3.9478578879373692E-2</v>
      </c>
      <c r="D161" s="104">
        <f t="shared" ca="1" si="56"/>
        <v>3.7687823296794619E-2</v>
      </c>
      <c r="E161" s="104">
        <f t="shared" ca="1" si="56"/>
        <v>3.993992105687344E-2</v>
      </c>
      <c r="F161" s="104">
        <f t="shared" ca="1" si="56"/>
        <v>4.1566505711036664E-2</v>
      </c>
      <c r="G161" s="104">
        <f t="shared" ca="1" si="56"/>
        <v>4.3693605389757147E-2</v>
      </c>
      <c r="H161" s="104">
        <f ca="1">SUM(B13:G13)/SUM(B$38:G$38)</f>
        <v>3.8764442356720462E-2</v>
      </c>
    </row>
    <row r="162" spans="1:20" s="11" customFormat="1" ht="15" customHeight="1">
      <c r="A162" s="202" t="str">
        <f t="shared" si="55"/>
        <v>Restricted Deposits</v>
      </c>
      <c r="B162" s="104">
        <f t="shared" ref="B162:G168" si="57">B14/B$38</f>
        <v>0.12348465673142313</v>
      </c>
      <c r="C162" s="252">
        <f t="shared" ca="1" si="57"/>
        <v>0.12572144029555699</v>
      </c>
      <c r="D162" s="104">
        <f t="shared" ca="1" si="57"/>
        <v>0.12611094848393559</v>
      </c>
      <c r="E162" s="104">
        <f t="shared" ca="1" si="57"/>
        <v>0.12863333020419557</v>
      </c>
      <c r="F162" s="104">
        <f t="shared" ca="1" si="57"/>
        <v>0.13172045818225739</v>
      </c>
      <c r="G162" s="104">
        <f t="shared" ca="1" si="57"/>
        <v>0.13623572342979259</v>
      </c>
      <c r="H162" s="104">
        <f t="shared" ref="H162:H168" ca="1" si="58">SUM(B14:G14)/SUM(B$38:G$38)</f>
        <v>0.12851301243312716</v>
      </c>
    </row>
    <row r="163" spans="1:20" s="11" customFormat="1" ht="15" customHeight="1">
      <c r="A163" s="202" t="str">
        <f t="shared" si="55"/>
        <v>Surplus Cash</v>
      </c>
      <c r="B163" s="104">
        <f t="shared" si="57"/>
        <v>0</v>
      </c>
      <c r="C163" s="252">
        <f t="shared" ca="1" si="57"/>
        <v>0</v>
      </c>
      <c r="D163" s="104">
        <f t="shared" ca="1" si="57"/>
        <v>0</v>
      </c>
      <c r="E163" s="104">
        <f t="shared" ca="1" si="57"/>
        <v>0</v>
      </c>
      <c r="F163" s="104">
        <f t="shared" ca="1" si="57"/>
        <v>0</v>
      </c>
      <c r="G163" s="104">
        <f t="shared" ca="1" si="57"/>
        <v>0</v>
      </c>
      <c r="H163" s="104">
        <f t="shared" ca="1" si="58"/>
        <v>0</v>
      </c>
    </row>
    <row r="164" spans="1:20" s="11" customFormat="1" ht="15" customHeight="1">
      <c r="A164" s="202" t="str">
        <f t="shared" si="55"/>
        <v>Accounts Receivable, net</v>
      </c>
      <c r="B164" s="104">
        <f t="shared" si="57"/>
        <v>6.9130979863155487E-2</v>
      </c>
      <c r="C164" s="252">
        <f t="shared" ca="1" si="57"/>
        <v>6.4197300073522728E-2</v>
      </c>
      <c r="D164" s="104">
        <f t="shared" ca="1" si="57"/>
        <v>6.0437517226654136E-2</v>
      </c>
      <c r="E164" s="104">
        <f t="shared" ca="1" si="57"/>
        <v>6.4225462636913047E-2</v>
      </c>
      <c r="F164" s="104">
        <f t="shared" ca="1" si="57"/>
        <v>6.6916797594990932E-2</v>
      </c>
      <c r="G164" s="104">
        <f t="shared" ca="1" si="57"/>
        <v>7.041945562414087E-2</v>
      </c>
      <c r="H164" s="104">
        <f t="shared" ca="1" si="58"/>
        <v>6.5839640454065054E-2</v>
      </c>
    </row>
    <row r="165" spans="1:20" s="11" customFormat="1" ht="15" customHeight="1">
      <c r="A165" s="202" t="str">
        <f t="shared" si="55"/>
        <v>Fuel Stock</v>
      </c>
      <c r="B165" s="104">
        <f t="shared" si="57"/>
        <v>5.0159729961472693E-2</v>
      </c>
      <c r="C165" s="252">
        <f t="shared" ca="1" si="57"/>
        <v>5.0623618912070983E-2</v>
      </c>
      <c r="D165" s="104">
        <f t="shared" ca="1" si="57"/>
        <v>5.0623618912070983E-2</v>
      </c>
      <c r="E165" s="104">
        <f t="shared" ca="1" si="57"/>
        <v>5.0623618912070976E-2</v>
      </c>
      <c r="F165" s="104">
        <f t="shared" ca="1" si="57"/>
        <v>5.0623618912070983E-2</v>
      </c>
      <c r="G165" s="104">
        <f t="shared" ca="1" si="57"/>
        <v>5.0623618912070983E-2</v>
      </c>
      <c r="H165" s="104">
        <f t="shared" ca="1" si="58"/>
        <v>5.0543155789426406E-2</v>
      </c>
    </row>
    <row r="166" spans="1:20" s="11" customFormat="1" ht="15" customHeight="1">
      <c r="A166" s="202" t="str">
        <f t="shared" si="55"/>
        <v>Material and Supplies</v>
      </c>
      <c r="B166" s="104">
        <f t="shared" si="57"/>
        <v>3.8300897313723568E-2</v>
      </c>
      <c r="C166" s="252">
        <f t="shared" ca="1" si="57"/>
        <v>3.8453942897988889E-2</v>
      </c>
      <c r="D166" s="104">
        <f t="shared" ca="1" si="57"/>
        <v>3.8453942897988889E-2</v>
      </c>
      <c r="E166" s="104">
        <f t="shared" ca="1" si="57"/>
        <v>3.8453942897988883E-2</v>
      </c>
      <c r="F166" s="104">
        <f t="shared" ca="1" si="57"/>
        <v>3.8453942897988889E-2</v>
      </c>
      <c r="G166" s="104">
        <f t="shared" ca="1" si="57"/>
        <v>3.8453942897988889E-2</v>
      </c>
      <c r="H166" s="104">
        <f t="shared" ca="1" si="58"/>
        <v>3.8427396618753155E-2</v>
      </c>
    </row>
    <row r="167" spans="1:20" s="11" customFormat="1" ht="15" customHeight="1">
      <c r="A167" s="202" t="str">
        <f t="shared" si="55"/>
        <v>Other Current Assets</v>
      </c>
      <c r="B167" s="192">
        <f t="shared" si="57"/>
        <v>3.8212094119186037E-3</v>
      </c>
      <c r="C167" s="253">
        <f t="shared" ca="1" si="57"/>
        <v>6.2506033021486858E-3</v>
      </c>
      <c r="D167" s="192">
        <f t="shared" ca="1" si="57"/>
        <v>6.2506033021486858E-3</v>
      </c>
      <c r="E167" s="192">
        <f t="shared" ca="1" si="57"/>
        <v>6.250603302148685E-3</v>
      </c>
      <c r="F167" s="192">
        <f t="shared" ca="1" si="57"/>
        <v>6.2506033021486858E-3</v>
      </c>
      <c r="G167" s="192">
        <f t="shared" ca="1" si="57"/>
        <v>6.2506033021486858E-3</v>
      </c>
      <c r="H167" s="192">
        <f t="shared" ca="1" si="58"/>
        <v>5.8292166355995642E-3</v>
      </c>
    </row>
    <row r="168" spans="1:20" s="11" customFormat="1" ht="15" customHeight="1">
      <c r="A168" s="202" t="str">
        <f t="shared" si="55"/>
        <v>Total Current Assets</v>
      </c>
      <c r="B168" s="104">
        <f t="shared" si="57"/>
        <v>0.31579157416225284</v>
      </c>
      <c r="C168" s="252">
        <f t="shared" ca="1" si="57"/>
        <v>0.32472548436066195</v>
      </c>
      <c r="D168" s="104">
        <f t="shared" ca="1" si="57"/>
        <v>0.31956445411959289</v>
      </c>
      <c r="E168" s="104">
        <f t="shared" ca="1" si="57"/>
        <v>0.32812687901019061</v>
      </c>
      <c r="F168" s="104">
        <f t="shared" ca="1" si="57"/>
        <v>0.33553192660049352</v>
      </c>
      <c r="G168" s="104">
        <f t="shared" ca="1" si="57"/>
        <v>0.34567694955589917</v>
      </c>
      <c r="H168" s="104">
        <f t="shared" ca="1" si="58"/>
        <v>0.32791686428769179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</row>
    <row r="169" spans="1:20" s="11" customFormat="1" ht="15" customHeight="1">
      <c r="A169" s="202"/>
      <c r="B169" s="186"/>
      <c r="C169" s="254"/>
      <c r="D169" s="186"/>
      <c r="E169" s="186"/>
      <c r="F169" s="186"/>
      <c r="G169" s="186"/>
      <c r="H169" s="94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</row>
    <row r="170" spans="1:20" s="11" customFormat="1" ht="15" customHeight="1">
      <c r="A170" s="203" t="str">
        <f>A22</f>
        <v>Plant &amp; Equipment:</v>
      </c>
      <c r="B170" s="186"/>
      <c r="C170" s="254"/>
      <c r="D170" s="186"/>
      <c r="E170" s="186"/>
      <c r="F170" s="186"/>
      <c r="G170" s="186"/>
      <c r="H170" s="94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</row>
    <row r="171" spans="1:20" s="11" customFormat="1" ht="15" customHeight="1">
      <c r="A171" s="202" t="str">
        <f>A23</f>
        <v>Plant in Service</v>
      </c>
      <c r="B171" s="104">
        <f t="shared" ref="B171:G174" si="59">B23/B$38</f>
        <v>0.97281722006341842</v>
      </c>
      <c r="C171" s="252">
        <f t="shared" ca="1" si="59"/>
        <v>1.0533667267985745</v>
      </c>
      <c r="D171" s="104">
        <f t="shared" ca="1" si="59"/>
        <v>1.1010022238722685</v>
      </c>
      <c r="E171" s="104">
        <f t="shared" ca="1" si="59"/>
        <v>1.1456534240183835</v>
      </c>
      <c r="F171" s="104">
        <f t="shared" ca="1" si="59"/>
        <v>1.1963213011756673</v>
      </c>
      <c r="G171" s="104">
        <f t="shared" ca="1" si="59"/>
        <v>1.2493137680601809</v>
      </c>
      <c r="H171" s="104">
        <f t="shared" ref="H171:H174" ca="1" si="60">SUM(B23:G23)/SUM(B$38:G$38)</f>
        <v>1.1169045201906129</v>
      </c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</row>
    <row r="172" spans="1:20" s="11" customFormat="1" ht="15" customHeight="1">
      <c r="A172" s="202" t="str">
        <f>A24</f>
        <v>Construction Work in Progress</v>
      </c>
      <c r="B172" s="104">
        <f t="shared" si="59"/>
        <v>3.9550031402198184E-2</v>
      </c>
      <c r="C172" s="252">
        <f t="shared" ca="1" si="59"/>
        <v>0</v>
      </c>
      <c r="D172" s="104">
        <f t="shared" ca="1" si="59"/>
        <v>0</v>
      </c>
      <c r="E172" s="104">
        <f t="shared" ca="1" si="59"/>
        <v>0</v>
      </c>
      <c r="F172" s="104">
        <f t="shared" ca="1" si="59"/>
        <v>0</v>
      </c>
      <c r="G172" s="104">
        <f t="shared" ca="1" si="59"/>
        <v>0</v>
      </c>
      <c r="H172" s="104">
        <f t="shared" ca="1" si="60"/>
        <v>6.860088008580195E-3</v>
      </c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</row>
    <row r="173" spans="1:20" s="11" customFormat="1" ht="15" customHeight="1">
      <c r="A173" s="202" t="str">
        <f>A25</f>
        <v>Other PP&amp;E</v>
      </c>
      <c r="B173" s="192">
        <f t="shared" si="59"/>
        <v>0</v>
      </c>
      <c r="C173" s="253">
        <f t="shared" ca="1" si="59"/>
        <v>0</v>
      </c>
      <c r="D173" s="192">
        <f t="shared" ca="1" si="59"/>
        <v>0</v>
      </c>
      <c r="E173" s="192">
        <f t="shared" ca="1" si="59"/>
        <v>0</v>
      </c>
      <c r="F173" s="192">
        <f t="shared" ca="1" si="59"/>
        <v>0</v>
      </c>
      <c r="G173" s="192">
        <f t="shared" ca="1" si="59"/>
        <v>0</v>
      </c>
      <c r="H173" s="192">
        <f t="shared" ca="1" si="60"/>
        <v>0</v>
      </c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</row>
    <row r="174" spans="1:20" s="11" customFormat="1" ht="15" customHeight="1">
      <c r="A174" s="202" t="str">
        <f>A26</f>
        <v>Total Plant &amp; Equipment:</v>
      </c>
      <c r="B174" s="104">
        <f t="shared" si="59"/>
        <v>1.0123672514656166</v>
      </c>
      <c r="C174" s="252">
        <f t="shared" ca="1" si="59"/>
        <v>1.0533667267985745</v>
      </c>
      <c r="D174" s="104">
        <f t="shared" ca="1" si="59"/>
        <v>1.1010022238722685</v>
      </c>
      <c r="E174" s="104">
        <f t="shared" ca="1" si="59"/>
        <v>1.1456534240183835</v>
      </c>
      <c r="F174" s="104">
        <f t="shared" ca="1" si="59"/>
        <v>1.1963213011756673</v>
      </c>
      <c r="G174" s="104">
        <f t="shared" ca="1" si="59"/>
        <v>1.2493137680601809</v>
      </c>
      <c r="H174" s="104">
        <f t="shared" ca="1" si="60"/>
        <v>1.1237646081991932</v>
      </c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</row>
    <row r="175" spans="1:20" s="11" customFormat="1" ht="15" customHeight="1">
      <c r="A175" s="202"/>
      <c r="B175" s="186"/>
      <c r="C175" s="254"/>
      <c r="D175" s="186"/>
      <c r="E175" s="186"/>
      <c r="F175" s="186"/>
      <c r="G175" s="186"/>
      <c r="H175" s="94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</row>
    <row r="176" spans="1:20" s="11" customFormat="1" ht="15" customHeight="1">
      <c r="A176" s="202" t="str">
        <f>A28</f>
        <v>Accumulated Depreciation &amp; Amort.</v>
      </c>
      <c r="B176" s="104">
        <f>B28/B$38</f>
        <v>0.57377448017947152</v>
      </c>
      <c r="C176" s="252">
        <f t="shared" ref="C176:G176" ca="1" si="61">C28/C$38</f>
        <v>0.60503027019625411</v>
      </c>
      <c r="D176" s="104">
        <f t="shared" ca="1" si="61"/>
        <v>0.6263922476870728</v>
      </c>
      <c r="E176" s="104">
        <f t="shared" ca="1" si="61"/>
        <v>0.65992569441912075</v>
      </c>
      <c r="F176" s="104">
        <f t="shared" ca="1" si="61"/>
        <v>0.69777517718106974</v>
      </c>
      <c r="G176" s="104">
        <f t="shared" ca="1" si="61"/>
        <v>0.74019552115012799</v>
      </c>
      <c r="H176" s="104">
        <f ca="1">SUM(B28:G28)/SUM(B$38:G$38)</f>
        <v>0.64870929570077129</v>
      </c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</row>
    <row r="177" spans="1:20" s="11" customFormat="1" ht="15" customHeight="1">
      <c r="A177" s="202"/>
      <c r="B177" s="186"/>
      <c r="C177" s="254"/>
      <c r="D177" s="186"/>
      <c r="E177" s="186"/>
      <c r="F177" s="186"/>
      <c r="G177" s="186"/>
      <c r="H177" s="94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</row>
    <row r="178" spans="1:20" s="11" customFormat="1" ht="15" customHeight="1">
      <c r="A178" s="202" t="str">
        <f>A30</f>
        <v>Net Plant &amp; Equipment</v>
      </c>
      <c r="B178" s="104">
        <f>B30/B$38</f>
        <v>0.43859277128614504</v>
      </c>
      <c r="C178" s="252">
        <f t="shared" ref="C178:G178" ca="1" si="62">C30/C$38</f>
        <v>0.44833645660232047</v>
      </c>
      <c r="D178" s="104">
        <f t="shared" ca="1" si="62"/>
        <v>0.47460997618519568</v>
      </c>
      <c r="E178" s="104">
        <f t="shared" ca="1" si="62"/>
        <v>0.4857277295992628</v>
      </c>
      <c r="F178" s="104">
        <f t="shared" ca="1" si="62"/>
        <v>0.49854612399459752</v>
      </c>
      <c r="G178" s="104">
        <f t="shared" ca="1" si="62"/>
        <v>0.50911824691005303</v>
      </c>
      <c r="H178" s="104">
        <f ca="1">SUM(B30:G30)/SUM(B$38:G$38)</f>
        <v>0.47505531249842181</v>
      </c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</row>
    <row r="179" spans="1:20" s="11" customFormat="1" ht="15" customHeight="1">
      <c r="A179" s="202"/>
      <c r="B179" s="186"/>
      <c r="C179" s="254"/>
      <c r="D179" s="186"/>
      <c r="E179" s="186"/>
      <c r="F179" s="186"/>
      <c r="G179" s="186"/>
      <c r="H179" s="94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</row>
    <row r="180" spans="1:20" s="11" customFormat="1" ht="15" customHeight="1">
      <c r="A180" s="203" t="str">
        <f t="shared" ref="A180:A186" si="63">A32</f>
        <v>Other Assets:</v>
      </c>
      <c r="B180" s="186"/>
      <c r="C180" s="254"/>
      <c r="D180" s="186"/>
      <c r="E180" s="186"/>
      <c r="F180" s="186"/>
      <c r="G180" s="186"/>
      <c r="H180" s="94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</row>
    <row r="181" spans="1:20" s="11" customFormat="1" ht="15" customHeight="1">
      <c r="A181" s="202" t="str">
        <f t="shared" si="63"/>
        <v>Accumulated Deferred Income Taxes</v>
      </c>
      <c r="B181" s="104">
        <f t="shared" ref="B181:G186" si="64">B33/B$38</f>
        <v>9.1741433686235122E-2</v>
      </c>
      <c r="C181" s="252">
        <f t="shared" ca="1" si="64"/>
        <v>9.1741433686235122E-2</v>
      </c>
      <c r="D181" s="104">
        <f t="shared" ca="1" si="64"/>
        <v>9.1741433686235122E-2</v>
      </c>
      <c r="E181" s="104">
        <f t="shared" ca="1" si="64"/>
        <v>9.1741433686235122E-2</v>
      </c>
      <c r="F181" s="104">
        <f t="shared" ca="1" si="64"/>
        <v>9.1741433686235122E-2</v>
      </c>
      <c r="G181" s="104">
        <f t="shared" ca="1" si="64"/>
        <v>9.1741433686235135E-2</v>
      </c>
      <c r="H181" s="104">
        <f t="shared" ref="H181:H186" ca="1" si="65">SUM(B33:G33)/SUM(B$38:G$38)</f>
        <v>9.1741433686235122E-2</v>
      </c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</row>
    <row r="182" spans="1:20" s="11" customFormat="1" ht="15" customHeight="1">
      <c r="A182" s="202" t="str">
        <f t="shared" si="63"/>
        <v>Investments and Other Property</v>
      </c>
      <c r="B182" s="104">
        <f t="shared" si="64"/>
        <v>-6.0183961341886957E-2</v>
      </c>
      <c r="C182" s="252">
        <f t="shared" ca="1" si="64"/>
        <v>-6.1274125084632695E-2</v>
      </c>
      <c r="D182" s="104">
        <f t="shared" ca="1" si="64"/>
        <v>-6.1463963614958872E-2</v>
      </c>
      <c r="E182" s="104">
        <f t="shared" ca="1" si="64"/>
        <v>-6.269332220864865E-2</v>
      </c>
      <c r="F182" s="104">
        <f t="shared" ca="1" si="64"/>
        <v>-6.4197926876200448E-2</v>
      </c>
      <c r="G182" s="104">
        <f t="shared" ca="1" si="64"/>
        <v>-6.6398577194215824E-2</v>
      </c>
      <c r="H182" s="104">
        <f t="shared" ca="1" si="65"/>
        <v>-6.2634681724280855E-2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</row>
    <row r="183" spans="1:20" s="11" customFormat="1" ht="15" customHeight="1">
      <c r="A183" s="202" t="str">
        <f t="shared" si="63"/>
        <v>Other Deferred Debits and Other Assets</v>
      </c>
      <c r="B183" s="192">
        <f t="shared" si="64"/>
        <v>0.21405818220725395</v>
      </c>
      <c r="C183" s="253">
        <f t="shared" ca="1" si="64"/>
        <v>0.19647075043541515</v>
      </c>
      <c r="D183" s="192">
        <f t="shared" ca="1" si="64"/>
        <v>0.17554809962393517</v>
      </c>
      <c r="E183" s="192">
        <f t="shared" ca="1" si="64"/>
        <v>0.15709727991296013</v>
      </c>
      <c r="F183" s="192">
        <f t="shared" ca="1" si="64"/>
        <v>0.13837844259487439</v>
      </c>
      <c r="G183" s="192">
        <f t="shared" ca="1" si="64"/>
        <v>0.11986194704202856</v>
      </c>
      <c r="H183" s="192">
        <f t="shared" ca="1" si="65"/>
        <v>0.16792107125193226</v>
      </c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</row>
    <row r="184" spans="1:20" s="11" customFormat="1" ht="15" customHeight="1">
      <c r="A184" s="202" t="str">
        <f t="shared" si="63"/>
        <v>Total Other Assets</v>
      </c>
      <c r="B184" s="194">
        <f t="shared" si="64"/>
        <v>0.24561565455160211</v>
      </c>
      <c r="C184" s="255">
        <f t="shared" ca="1" si="64"/>
        <v>0.22693805903701758</v>
      </c>
      <c r="D184" s="194">
        <f t="shared" ca="1" si="64"/>
        <v>0.20582556969521143</v>
      </c>
      <c r="E184" s="194">
        <f t="shared" ca="1" si="64"/>
        <v>0.18614539139054659</v>
      </c>
      <c r="F184" s="194">
        <f t="shared" ca="1" si="64"/>
        <v>0.16592194940490906</v>
      </c>
      <c r="G184" s="194">
        <f t="shared" ca="1" si="64"/>
        <v>0.14520480353404785</v>
      </c>
      <c r="H184" s="194">
        <f t="shared" ca="1" si="65"/>
        <v>0.19702782321388654</v>
      </c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</row>
    <row r="185" spans="1:20" s="11" customFormat="1" ht="15" customHeight="1">
      <c r="A185" s="202" t="str">
        <f t="shared" si="63"/>
        <v>Total Non-Current Assets</v>
      </c>
      <c r="B185" s="104">
        <f t="shared" si="64"/>
        <v>0.68420842583774721</v>
      </c>
      <c r="C185" s="252">
        <f t="shared" ca="1" si="64"/>
        <v>0.67527451563933805</v>
      </c>
      <c r="D185" s="104">
        <f t="shared" ca="1" si="64"/>
        <v>0.68043554588040711</v>
      </c>
      <c r="E185" s="104">
        <f t="shared" ca="1" si="64"/>
        <v>0.67187312098980945</v>
      </c>
      <c r="F185" s="104">
        <f t="shared" ca="1" si="64"/>
        <v>0.66446807339950653</v>
      </c>
      <c r="G185" s="104">
        <f t="shared" ca="1" si="64"/>
        <v>0.65432305044410088</v>
      </c>
      <c r="H185" s="104">
        <f t="shared" ca="1" si="65"/>
        <v>0.67208313571230827</v>
      </c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</row>
    <row r="186" spans="1:20" s="11" customFormat="1" ht="15" customHeight="1" thickBot="1">
      <c r="A186" s="202" t="str">
        <f t="shared" si="63"/>
        <v>Total Assets</v>
      </c>
      <c r="B186" s="193">
        <f t="shared" si="64"/>
        <v>1</v>
      </c>
      <c r="C186" s="256">
        <f t="shared" ca="1" si="64"/>
        <v>1</v>
      </c>
      <c r="D186" s="193">
        <f t="shared" ca="1" si="64"/>
        <v>1</v>
      </c>
      <c r="E186" s="193">
        <f t="shared" ca="1" si="64"/>
        <v>1</v>
      </c>
      <c r="F186" s="193">
        <f t="shared" ca="1" si="64"/>
        <v>1</v>
      </c>
      <c r="G186" s="193">
        <f t="shared" ca="1" si="64"/>
        <v>1</v>
      </c>
      <c r="H186" s="193">
        <f t="shared" ca="1" si="65"/>
        <v>1</v>
      </c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</row>
    <row r="187" spans="1:20" s="11" customFormat="1" ht="15" customHeight="1" thickTop="1">
      <c r="A187" s="202"/>
      <c r="B187" s="186"/>
      <c r="C187" s="257"/>
      <c r="D187" s="186"/>
      <c r="E187" s="186"/>
      <c r="F187" s="186"/>
      <c r="G187" s="186"/>
      <c r="H187" s="94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</row>
    <row r="188" spans="1:20" s="11" customFormat="1" ht="15" customHeight="1">
      <c r="A188" s="202"/>
      <c r="B188" s="186"/>
      <c r="C188" s="254"/>
      <c r="D188" s="186"/>
      <c r="E188" s="186"/>
      <c r="F188" s="186"/>
      <c r="G188" s="186"/>
      <c r="H188" s="94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</row>
    <row r="189" spans="1:20" s="11" customFormat="1" ht="15" customHeight="1">
      <c r="A189" s="203" t="str">
        <f t="shared" ref="A189:A194" si="66">A41</f>
        <v>Current Liabilities:</v>
      </c>
      <c r="B189" s="186"/>
      <c r="C189" s="254"/>
      <c r="D189" s="186"/>
      <c r="E189" s="186"/>
      <c r="F189" s="186"/>
      <c r="G189" s="186"/>
      <c r="H189" s="94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</row>
    <row r="190" spans="1:20" s="11" customFormat="1" ht="15" customHeight="1">
      <c r="A190" s="202" t="str">
        <f t="shared" si="66"/>
        <v>Current Portion of LTD</v>
      </c>
      <c r="B190" s="104">
        <f t="shared" ref="B190:G194" si="67">B42/B$38</f>
        <v>0</v>
      </c>
      <c r="C190" s="252">
        <f t="shared" ca="1" si="67"/>
        <v>0</v>
      </c>
      <c r="D190" s="104">
        <f t="shared" ca="1" si="67"/>
        <v>0</v>
      </c>
      <c r="E190" s="104">
        <f t="shared" ca="1" si="67"/>
        <v>0</v>
      </c>
      <c r="F190" s="104">
        <f t="shared" ca="1" si="67"/>
        <v>0</v>
      </c>
      <c r="G190" s="104">
        <f t="shared" ca="1" si="67"/>
        <v>0</v>
      </c>
      <c r="H190" s="104">
        <f t="shared" ref="H190:H194" ca="1" si="68">SUM(B42:G42)/SUM(B$38:G$38)</f>
        <v>0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</row>
    <row r="191" spans="1:20" s="11" customFormat="1" ht="15" customHeight="1">
      <c r="A191" s="202" t="str">
        <f t="shared" si="66"/>
        <v>Acounts Payable</v>
      </c>
      <c r="B191" s="104">
        <f t="shared" si="67"/>
        <v>6.6206144396392649E-2</v>
      </c>
      <c r="C191" s="252">
        <f t="shared" ca="1" si="67"/>
        <v>4.2519789330120072E-2</v>
      </c>
      <c r="D191" s="104">
        <f t="shared" ca="1" si="67"/>
        <v>4.2651523472469068E-2</v>
      </c>
      <c r="E191" s="104">
        <f t="shared" ca="1" si="67"/>
        <v>4.2651523472469068E-2</v>
      </c>
      <c r="F191" s="104">
        <f t="shared" ca="1" si="67"/>
        <v>4.2651523472469068E-2</v>
      </c>
      <c r="G191" s="104">
        <f t="shared" ca="1" si="67"/>
        <v>4.2651523472469068E-2</v>
      </c>
      <c r="H191" s="104">
        <f t="shared" ca="1" si="68"/>
        <v>4.6714709706022518E-2</v>
      </c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</row>
    <row r="192" spans="1:20" s="11" customFormat="1" ht="15" customHeight="1">
      <c r="A192" s="202" t="str">
        <f t="shared" si="66"/>
        <v>Customer Deposits</v>
      </c>
      <c r="B192" s="104">
        <f t="shared" si="67"/>
        <v>5.1447002630193427E-3</v>
      </c>
      <c r="C192" s="252">
        <f t="shared" ca="1" si="67"/>
        <v>5.2378906341578853E-3</v>
      </c>
      <c r="D192" s="104">
        <f t="shared" ca="1" si="67"/>
        <v>5.2541185845141631E-3</v>
      </c>
      <c r="E192" s="104">
        <f t="shared" ca="1" si="67"/>
        <v>5.3592077368278881E-3</v>
      </c>
      <c r="F192" s="104">
        <f t="shared" ca="1" si="67"/>
        <v>5.4878257250144929E-3</v>
      </c>
      <c r="G192" s="104">
        <f t="shared" ca="1" si="67"/>
        <v>5.675943722193046E-3</v>
      </c>
      <c r="H192" s="104">
        <f t="shared" ca="1" si="68"/>
        <v>5.3541949774710091E-3</v>
      </c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</row>
    <row r="193" spans="1:20" s="11" customFormat="1" ht="15" customHeight="1">
      <c r="A193" s="202" t="str">
        <f t="shared" si="66"/>
        <v xml:space="preserve">Other </v>
      </c>
      <c r="B193" s="192">
        <f t="shared" si="67"/>
        <v>2.8683588248119174E-2</v>
      </c>
      <c r="C193" s="253">
        <f t="shared" ca="1" si="67"/>
        <v>3.009192820554011E-2</v>
      </c>
      <c r="D193" s="192">
        <f t="shared" ca="1" si="67"/>
        <v>3.009192820554011E-2</v>
      </c>
      <c r="E193" s="192">
        <f t="shared" ca="1" si="67"/>
        <v>3.0091928205540113E-2</v>
      </c>
      <c r="F193" s="192">
        <f t="shared" ca="1" si="67"/>
        <v>3.009192820554011E-2</v>
      </c>
      <c r="G193" s="192">
        <f t="shared" ca="1" si="67"/>
        <v>3.009192820554011E-2</v>
      </c>
      <c r="H193" s="192">
        <f t="shared" ca="1" si="68"/>
        <v>2.9847646830497496E-2</v>
      </c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</row>
    <row r="194" spans="1:20" s="11" customFormat="1" ht="15" customHeight="1">
      <c r="A194" s="202" t="str">
        <f t="shared" si="66"/>
        <v>Total Current Liabilities</v>
      </c>
      <c r="B194" s="104">
        <f t="shared" si="67"/>
        <v>0.10003443290753117</v>
      </c>
      <c r="C194" s="252">
        <f t="shared" ca="1" si="67"/>
        <v>7.7849608169818063E-2</v>
      </c>
      <c r="D194" s="104">
        <f t="shared" ca="1" si="67"/>
        <v>7.7997570262523339E-2</v>
      </c>
      <c r="E194" s="104">
        <f t="shared" ca="1" si="67"/>
        <v>7.8102659414837072E-2</v>
      </c>
      <c r="F194" s="104">
        <f t="shared" ca="1" si="67"/>
        <v>7.8231277403023658E-2</v>
      </c>
      <c r="G194" s="104">
        <f t="shared" ca="1" si="67"/>
        <v>7.8419395400202221E-2</v>
      </c>
      <c r="H194" s="104">
        <f t="shared" ca="1" si="68"/>
        <v>8.1916551513991034E-2</v>
      </c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</row>
    <row r="195" spans="1:20" s="11" customFormat="1" ht="15" customHeight="1">
      <c r="A195" s="202"/>
      <c r="B195" s="186"/>
      <c r="C195" s="254"/>
      <c r="D195" s="186"/>
      <c r="E195" s="186"/>
      <c r="F195" s="186"/>
      <c r="G195" s="186"/>
      <c r="H195" s="94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</row>
    <row r="196" spans="1:20" s="11" customFormat="1" ht="15" customHeight="1">
      <c r="A196" s="202" t="str">
        <f>A48</f>
        <v>Long-Term Debt</v>
      </c>
      <c r="B196" s="104">
        <f t="shared" ref="B196:G200" si="69">B48/B$38</f>
        <v>0.59853043334659839</v>
      </c>
      <c r="C196" s="252">
        <f t="shared" ca="1" si="69"/>
        <v>0.59794573010390628</v>
      </c>
      <c r="D196" s="104">
        <f t="shared" ca="1" si="69"/>
        <v>0.59942946963081523</v>
      </c>
      <c r="E196" s="104">
        <f t="shared" ca="1" si="69"/>
        <v>0.57936102077321772</v>
      </c>
      <c r="F196" s="104">
        <f t="shared" ca="1" si="69"/>
        <v>0.56970731414257048</v>
      </c>
      <c r="G196" s="104">
        <f t="shared" ca="1" si="69"/>
        <v>0.54330033653293819</v>
      </c>
      <c r="H196" s="104">
        <f t="shared" ref="H196:H200" ca="1" si="70">SUM(B48:G48)/SUM(B$38:G$38)</f>
        <v>0.58202150416714382</v>
      </c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</row>
    <row r="197" spans="1:20" s="11" customFormat="1" ht="15" customHeight="1">
      <c r="A197" s="202" t="str">
        <f>A49</f>
        <v>Deferred Income Taxes</v>
      </c>
      <c r="B197" s="104">
        <f t="shared" si="69"/>
        <v>0.10939806480116698</v>
      </c>
      <c r="C197" s="252">
        <f t="shared" ca="1" si="69"/>
        <v>0.11305038112384559</v>
      </c>
      <c r="D197" s="104">
        <f t="shared" ca="1" si="69"/>
        <v>0.11510164151658983</v>
      </c>
      <c r="E197" s="104">
        <f t="shared" ca="1" si="69"/>
        <v>0.11916488023295203</v>
      </c>
      <c r="F197" s="104">
        <f t="shared" ca="1" si="69"/>
        <v>0.12385514226818486</v>
      </c>
      <c r="G197" s="104">
        <f t="shared" ca="1" si="69"/>
        <v>0.13002230304513221</v>
      </c>
      <c r="H197" s="104">
        <f t="shared" ca="1" si="70"/>
        <v>0.1182086438814368</v>
      </c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</row>
    <row r="198" spans="1:20" s="11" customFormat="1" ht="15" customHeight="1">
      <c r="A198" s="202" t="str">
        <f>A50</f>
        <v>Other Deferred Credits</v>
      </c>
      <c r="B198" s="104">
        <f t="shared" si="69"/>
        <v>2.7037290246661157E-3</v>
      </c>
      <c r="C198" s="252">
        <f t="shared" ca="1" si="69"/>
        <v>2.7527039888788634E-3</v>
      </c>
      <c r="D198" s="104">
        <f t="shared" ca="1" si="69"/>
        <v>2.7612323730695802E-3</v>
      </c>
      <c r="E198" s="104">
        <f t="shared" ca="1" si="69"/>
        <v>2.8164605839977371E-3</v>
      </c>
      <c r="F198" s="104">
        <f t="shared" ca="1" si="69"/>
        <v>2.88405406271873E-3</v>
      </c>
      <c r="G198" s="104">
        <f t="shared" ca="1" si="69"/>
        <v>2.9829169824285E-3</v>
      </c>
      <c r="H198" s="104">
        <f t="shared" ca="1" si="70"/>
        <v>2.8138261947672737E-3</v>
      </c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</row>
    <row r="199" spans="1:20" s="11" customFormat="1" ht="15" customHeight="1">
      <c r="A199" s="202" t="str">
        <f>A51</f>
        <v>Additional Loans</v>
      </c>
      <c r="B199" s="192">
        <f t="shared" si="69"/>
        <v>0</v>
      </c>
      <c r="C199" s="253">
        <f t="shared" ca="1" si="69"/>
        <v>3.0416717002108438E-2</v>
      </c>
      <c r="D199" s="192">
        <f t="shared" ca="1" si="69"/>
        <v>3.337310726501852E-2</v>
      </c>
      <c r="E199" s="192">
        <f t="shared" ca="1" si="69"/>
        <v>3.8472060544926613E-2</v>
      </c>
      <c r="F199" s="192">
        <f t="shared" ca="1" si="69"/>
        <v>4.3419838921602567E-2</v>
      </c>
      <c r="G199" s="192">
        <f t="shared" ca="1" si="69"/>
        <v>4.3833571813565148E-2</v>
      </c>
      <c r="H199" s="192">
        <f t="shared" ca="1" si="70"/>
        <v>3.1208050688274942E-2</v>
      </c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</row>
    <row r="200" spans="1:20" s="11" customFormat="1" ht="15" customHeight="1">
      <c r="A200" s="202" t="str">
        <f>A52</f>
        <v>Total LTD &amp; Deferrals</v>
      </c>
      <c r="B200" s="104">
        <f t="shared" si="69"/>
        <v>0.71063222717243146</v>
      </c>
      <c r="C200" s="252">
        <f t="shared" ca="1" si="69"/>
        <v>0.74416553221873927</v>
      </c>
      <c r="D200" s="104">
        <f t="shared" ca="1" si="69"/>
        <v>0.75066545078549296</v>
      </c>
      <c r="E200" s="104">
        <f t="shared" ca="1" si="69"/>
        <v>0.73981442213509407</v>
      </c>
      <c r="F200" s="104">
        <f t="shared" ca="1" si="69"/>
        <v>0.73986634939507667</v>
      </c>
      <c r="G200" s="104">
        <f t="shared" ca="1" si="69"/>
        <v>0.72013912837406413</v>
      </c>
      <c r="H200" s="104">
        <f t="shared" ca="1" si="70"/>
        <v>0.73425202493162289</v>
      </c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</row>
    <row r="201" spans="1:20" s="11" customFormat="1" ht="15" customHeight="1">
      <c r="A201" s="202"/>
      <c r="B201" s="186"/>
      <c r="C201" s="254"/>
      <c r="D201" s="186"/>
      <c r="E201" s="186"/>
      <c r="F201" s="186"/>
      <c r="G201" s="186"/>
      <c r="H201" s="94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</row>
    <row r="202" spans="1:20" s="11" customFormat="1" ht="15" customHeight="1">
      <c r="A202" s="202" t="str">
        <f>A54</f>
        <v>Total Liabilities</v>
      </c>
      <c r="B202" s="104">
        <f>B54/B$38</f>
        <v>0.81066666007996269</v>
      </c>
      <c r="C202" s="252">
        <f t="shared" ref="C202:G202" ca="1" si="71">C54/C$38</f>
        <v>0.82201514038855727</v>
      </c>
      <c r="D202" s="104">
        <f t="shared" ca="1" si="71"/>
        <v>0.82866302104801637</v>
      </c>
      <c r="E202" s="104">
        <f t="shared" ca="1" si="71"/>
        <v>0.81791708154993115</v>
      </c>
      <c r="F202" s="104">
        <f t="shared" ca="1" si="71"/>
        <v>0.81809762679810039</v>
      </c>
      <c r="G202" s="104">
        <f t="shared" ca="1" si="71"/>
        <v>0.79855852377426639</v>
      </c>
      <c r="H202" s="104">
        <f ca="1">SUM(B54:G54)/SUM(B$38:G$38)</f>
        <v>0.81616857644561391</v>
      </c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</row>
    <row r="203" spans="1:20" s="11" customFormat="1" ht="15" customHeight="1">
      <c r="A203" s="202"/>
      <c r="B203" s="186"/>
      <c r="C203" s="254"/>
      <c r="D203" s="186"/>
      <c r="E203" s="186"/>
      <c r="F203" s="186"/>
      <c r="G203" s="186"/>
      <c r="H203" s="94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</row>
    <row r="204" spans="1:20" s="11" customFormat="1" ht="15" customHeight="1">
      <c r="A204" s="203" t="str">
        <f>A56</f>
        <v>Patronage Equity:</v>
      </c>
      <c r="B204" s="186"/>
      <c r="C204" s="254"/>
      <c r="D204" s="186"/>
      <c r="E204" s="186"/>
      <c r="F204" s="186"/>
      <c r="G204" s="186"/>
      <c r="H204" s="94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</row>
    <row r="205" spans="1:20" s="11" customFormat="1" ht="15" customHeight="1">
      <c r="A205" s="202" t="str">
        <f>A57</f>
        <v>Patrons Capital</v>
      </c>
      <c r="B205" s="229">
        <f t="shared" ref="B205:G208" si="72">B57/B$38</f>
        <v>0.18933333992003731</v>
      </c>
      <c r="C205" s="258">
        <f t="shared" ca="1" si="72"/>
        <v>0.17798485943177608</v>
      </c>
      <c r="D205" s="229">
        <f t="shared" ca="1" si="72"/>
        <v>0.17133697814877791</v>
      </c>
      <c r="E205" s="229">
        <f t="shared" ca="1" si="72"/>
        <v>0.18208291763012843</v>
      </c>
      <c r="F205" s="229">
        <f t="shared" ca="1" si="72"/>
        <v>0.18190237236171244</v>
      </c>
      <c r="G205" s="229">
        <f t="shared" ca="1" si="72"/>
        <v>0.20144147535698864</v>
      </c>
      <c r="H205" s="229">
        <f ca="1">SUM(B57:G57)/SUM(B$38:G$38)</f>
        <v>0.18383142297762597</v>
      </c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</row>
    <row r="206" spans="1:20" s="11" customFormat="1" ht="15" customHeight="1">
      <c r="A206" s="202" t="str">
        <f>A58</f>
        <v>Retained Earnings</v>
      </c>
      <c r="B206" s="192"/>
      <c r="C206" s="253"/>
      <c r="D206" s="192"/>
      <c r="E206" s="192"/>
      <c r="F206" s="192"/>
      <c r="G206" s="192"/>
      <c r="H206" s="156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</row>
    <row r="207" spans="1:20" s="11" customFormat="1" ht="15" customHeight="1">
      <c r="A207" s="202" t="str">
        <f>A59</f>
        <v>Total Patronage Equity</v>
      </c>
      <c r="B207" s="104">
        <f t="shared" si="72"/>
        <v>0.18933333992003731</v>
      </c>
      <c r="C207" s="252">
        <f t="shared" ca="1" si="72"/>
        <v>0.17798485943177608</v>
      </c>
      <c r="D207" s="104">
        <f t="shared" ca="1" si="72"/>
        <v>0.17133697814877791</v>
      </c>
      <c r="E207" s="104">
        <f t="shared" ca="1" si="72"/>
        <v>0.18208291763012843</v>
      </c>
      <c r="F207" s="104">
        <f t="shared" ca="1" si="72"/>
        <v>0.18190237236171244</v>
      </c>
      <c r="G207" s="104">
        <f t="shared" ca="1" si="72"/>
        <v>0.20144147535698864</v>
      </c>
      <c r="H207" s="104">
        <f t="shared" ref="H207:H208" ca="1" si="73">SUM(B59:G59)/SUM(B$38:G$38)</f>
        <v>0.18383142297762597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</row>
    <row r="208" spans="1:20" s="11" customFormat="1" ht="15" customHeight="1" thickBot="1">
      <c r="A208" s="202" t="str">
        <f>A60</f>
        <v>Total Liabilities &amp; Equity</v>
      </c>
      <c r="B208" s="193">
        <f t="shared" si="72"/>
        <v>1</v>
      </c>
      <c r="C208" s="256">
        <f t="shared" ca="1" si="72"/>
        <v>0.99999999982033327</v>
      </c>
      <c r="D208" s="193">
        <f t="shared" ca="1" si="72"/>
        <v>0.99999999919679416</v>
      </c>
      <c r="E208" s="193">
        <f t="shared" ca="1" si="72"/>
        <v>0.99999999918005966</v>
      </c>
      <c r="F208" s="193">
        <f t="shared" ca="1" si="72"/>
        <v>0.99999999915981275</v>
      </c>
      <c r="G208" s="193">
        <f t="shared" ca="1" si="72"/>
        <v>0.99999999913125492</v>
      </c>
      <c r="H208" s="193">
        <f t="shared" ca="1" si="73"/>
        <v>0.99999999942323958</v>
      </c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</row>
    <row r="209" spans="1:20" s="11" customFormat="1" ht="15" customHeight="1" thickTop="1">
      <c r="A209" s="188"/>
      <c r="B209" s="66"/>
      <c r="C209" s="39"/>
      <c r="D209" s="39"/>
      <c r="E209" s="39"/>
      <c r="F209" s="39"/>
      <c r="G209" s="39"/>
      <c r="H209" s="7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</row>
    <row r="210" spans="1:20" s="11" customFormat="1" ht="15" customHeight="1">
      <c r="A210" s="188"/>
      <c r="B210" s="66"/>
      <c r="C210" s="39"/>
      <c r="D210" s="39"/>
      <c r="E210" s="39"/>
      <c r="F210" s="39"/>
      <c r="G210" s="39"/>
      <c r="H210" s="7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</row>
    <row r="211" spans="1:20" s="11" customFormat="1" ht="15" customHeight="1">
      <c r="B211" s="66"/>
      <c r="H211" s="67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</row>
    <row r="212" spans="1:20" s="11" customFormat="1" ht="15" customHeight="1">
      <c r="B212" s="66"/>
      <c r="H212" s="73" t="str">
        <f>H151</f>
        <v>Exhibit 2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</row>
    <row r="213" spans="1:20" s="11" customFormat="1" ht="15" customHeight="1">
      <c r="B213" s="66"/>
      <c r="H213" s="73" t="s">
        <v>103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</row>
    <row r="214" spans="1:20" s="11" customFormat="1" ht="15" customHeight="1">
      <c r="A214" s="269" t="str">
        <f>Assumptions!D3</f>
        <v>Deseret Generation &amp; Transmission</v>
      </c>
      <c r="B214" s="269"/>
      <c r="C214" s="269"/>
      <c r="D214" s="269"/>
      <c r="E214" s="269"/>
      <c r="F214" s="269"/>
      <c r="G214" s="269"/>
      <c r="H214" s="269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</row>
    <row r="215" spans="1:20" s="11" customFormat="1" ht="15" customHeight="1">
      <c r="A215" s="273" t="s">
        <v>187</v>
      </c>
      <c r="B215" s="273"/>
      <c r="C215" s="273"/>
      <c r="D215" s="273"/>
      <c r="E215" s="273"/>
      <c r="F215" s="273"/>
      <c r="G215" s="273"/>
      <c r="H215" s="273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</row>
    <row r="216" spans="1:20" s="11" customFormat="1" ht="15" customHeight="1">
      <c r="B216" s="66"/>
      <c r="H216" s="67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</row>
    <row r="217" spans="1:20" s="11" customFormat="1" ht="15" customHeight="1">
      <c r="B217" s="66"/>
      <c r="H217" s="67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</row>
    <row r="218" spans="1:20" s="11" customFormat="1" ht="15" customHeight="1">
      <c r="B218" s="158" t="s">
        <v>16</v>
      </c>
      <c r="C218" s="91" t="s">
        <v>57</v>
      </c>
      <c r="D218" s="91" t="s">
        <v>57</v>
      </c>
      <c r="E218" s="91" t="s">
        <v>57</v>
      </c>
      <c r="F218" s="91" t="s">
        <v>57</v>
      </c>
      <c r="G218" s="91" t="s">
        <v>57</v>
      </c>
      <c r="H218" s="91" t="s">
        <v>57</v>
      </c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</row>
    <row r="219" spans="1:20" s="11" customFormat="1" ht="15" customHeight="1">
      <c r="A219" s="207" t="s">
        <v>33</v>
      </c>
      <c r="B219" s="206" t="s">
        <v>90</v>
      </c>
      <c r="C219" s="163">
        <f>C10</f>
        <v>2011</v>
      </c>
      <c r="D219" s="163">
        <f>D10</f>
        <v>2012</v>
      </c>
      <c r="E219" s="163">
        <f t="shared" ref="E219:G219" si="74">E10</f>
        <v>2013</v>
      </c>
      <c r="F219" s="163">
        <f t="shared" si="74"/>
        <v>2014</v>
      </c>
      <c r="G219" s="163">
        <f t="shared" si="74"/>
        <v>2015</v>
      </c>
      <c r="H219" s="170" t="s">
        <v>3</v>
      </c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</row>
    <row r="220" spans="1:20" s="11" customFormat="1" ht="15" customHeight="1">
      <c r="A220" s="81"/>
      <c r="B220" s="159"/>
      <c r="C220" s="92"/>
      <c r="D220" s="92"/>
      <c r="E220" s="92"/>
      <c r="F220" s="92"/>
      <c r="G220" s="92"/>
      <c r="H220" s="171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</row>
    <row r="221" spans="1:20" s="11" customFormat="1" ht="15" customHeight="1">
      <c r="A221" s="78" t="s">
        <v>41</v>
      </c>
      <c r="B221" s="159"/>
      <c r="C221" s="90"/>
      <c r="D221" s="90"/>
      <c r="E221" s="90"/>
      <c r="F221" s="90"/>
      <c r="G221" s="37"/>
      <c r="H221" s="90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</row>
    <row r="222" spans="1:20" s="11" customFormat="1" ht="15" customHeight="1">
      <c r="A222" s="37" t="s">
        <v>6</v>
      </c>
      <c r="B222" s="210">
        <f>'Exhibit 1'!J113</f>
        <v>3.6577161108596097</v>
      </c>
      <c r="C222" s="90">
        <f ca="1">C20/C46</f>
        <v>4.1711897078829043</v>
      </c>
      <c r="D222" s="90">
        <f ca="1">D20/D46</f>
        <v>4.0971078078971752</v>
      </c>
      <c r="E222" s="90">
        <f ca="1">E20/E46</f>
        <v>4.2012254316125981</v>
      </c>
      <c r="F222" s="90">
        <f ca="1">F20/F46</f>
        <v>4.288974151245613</v>
      </c>
      <c r="G222" s="90">
        <f ca="1">G20/G46</f>
        <v>4.4080542548407324</v>
      </c>
      <c r="H222" s="90">
        <f ca="1">AVERAGE(C222:G222)</f>
        <v>4.2333102706958048</v>
      </c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</row>
    <row r="223" spans="1:20" s="11" customFormat="1" ht="15" customHeight="1">
      <c r="A223" s="37" t="s">
        <v>32</v>
      </c>
      <c r="B223" s="210">
        <f>'Exhibit 1'!J114</f>
        <v>1.3470775425633292</v>
      </c>
      <c r="C223" s="90">
        <f ca="1">(C13+C15+C16)/C46</f>
        <v>1.3317456746441414</v>
      </c>
      <c r="D223" s="90">
        <f ca="1">(D13+D15+D16)/D46</f>
        <v>1.2580563752586087</v>
      </c>
      <c r="E223" s="90">
        <f ca="1">(E13+E15+E16)/E46</f>
        <v>1.3336982949648233</v>
      </c>
      <c r="F223" s="90">
        <f ca="1">(F13+F15+F16)/F46</f>
        <v>1.3866998840777549</v>
      </c>
      <c r="G223" s="90">
        <f ca="1">(G13+G15+G16)/G46</f>
        <v>1.4551637440143252</v>
      </c>
      <c r="H223" s="90">
        <f ca="1">AVERAGE(C223:G223)</f>
        <v>1.3530727945919307</v>
      </c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</row>
    <row r="224" spans="1:20" s="11" customFormat="1" ht="15" customHeight="1">
      <c r="A224" s="37" t="s">
        <v>9</v>
      </c>
      <c r="B224" s="210">
        <f>'Exhibit 1'!J115</f>
        <v>46.101218181884576</v>
      </c>
      <c r="C224" s="90">
        <f ca="1">365*(((B17+C16)/2)/((C76+B76)/2))</f>
        <v>40.883243048628579</v>
      </c>
      <c r="D224" s="90">
        <f ca="1">365*(((C16+D16)/2)/((D76+C76)/2))</f>
        <v>45.348749566320556</v>
      </c>
      <c r="E224" s="90">
        <f ca="1">365*(((D16+E16)/2)/((E76+D76)/2))</f>
        <v>45.088328835045672</v>
      </c>
      <c r="F224" s="90">
        <f ca="1">365*(((E16+F16)/2)/((F76+E76)/2))</f>
        <v>45.174921694855556</v>
      </c>
      <c r="G224" s="90">
        <f ca="1">365*(((F16+G16)/2)/((G76+F76)/2))</f>
        <v>45.225642244284082</v>
      </c>
      <c r="H224" s="90">
        <f ca="1">AVERAGE(C224:G224)</f>
        <v>44.344177077826892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</row>
    <row r="225" spans="1:20" s="11" customFormat="1" ht="15" customHeight="1">
      <c r="A225" s="37"/>
      <c r="B225" s="159"/>
      <c r="C225" s="90"/>
      <c r="D225" s="90"/>
      <c r="E225" s="90"/>
      <c r="F225" s="90"/>
      <c r="G225" s="90"/>
      <c r="H225" s="90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</row>
    <row r="226" spans="1:20" s="11" customFormat="1" ht="15" customHeight="1">
      <c r="A226" s="78" t="s">
        <v>21</v>
      </c>
      <c r="B226" s="159"/>
      <c r="C226" s="90"/>
      <c r="D226" s="90"/>
      <c r="E226" s="90"/>
      <c r="F226" s="90"/>
      <c r="G226" s="90"/>
      <c r="H226" s="90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</row>
    <row r="227" spans="1:20" s="11" customFormat="1" ht="15" customHeight="1">
      <c r="A227" s="37" t="s">
        <v>25</v>
      </c>
      <c r="B227" s="210">
        <f>'Exhibit 1'!J118</f>
        <v>0.2279013125026228</v>
      </c>
      <c r="C227" s="90">
        <f ca="1">C59/C54</f>
        <v>0.21652260486059255</v>
      </c>
      <c r="D227" s="90">
        <f ca="1">D59/D54</f>
        <v>0.20676315196506145</v>
      </c>
      <c r="E227" s="90">
        <f ca="1">E59/E54</f>
        <v>0.22261781999354524</v>
      </c>
      <c r="F227" s="90">
        <f ca="1">F59/F54</f>
        <v>0.22234800151376607</v>
      </c>
      <c r="G227" s="90">
        <f ca="1">G59/G54</f>
        <v>0.25225637114848631</v>
      </c>
      <c r="H227" s="90">
        <f ca="1">AVERAGE(C227:G227)</f>
        <v>0.22410158989629031</v>
      </c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</row>
    <row r="228" spans="1:20" s="11" customFormat="1" ht="15" customHeight="1">
      <c r="A228" s="37" t="s">
        <v>24</v>
      </c>
      <c r="B228" s="210">
        <f>'Exhibit 1'!J119</f>
        <v>0.24966219319602545</v>
      </c>
      <c r="C228" s="90">
        <f ca="1">C59/C52</f>
        <v>0.23917374794437457</v>
      </c>
      <c r="D228" s="90">
        <f ca="1">D59/D52</f>
        <v>0.22824678819238536</v>
      </c>
      <c r="E228" s="90">
        <f ca="1">E59/E52</f>
        <v>0.24611971892172591</v>
      </c>
      <c r="F228" s="90">
        <f ca="1">F59/F52</f>
        <v>0.24585842093026389</v>
      </c>
      <c r="G228" s="90">
        <f ca="1">G59/G52</f>
        <v>0.27972577439557383</v>
      </c>
      <c r="H228" s="90">
        <f ca="1">AVERAGE(C228:G228)</f>
        <v>0.2478248900768647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</row>
    <row r="229" spans="1:20" s="11" customFormat="1" ht="15" customHeight="1">
      <c r="A229" s="37" t="s">
        <v>23</v>
      </c>
      <c r="B229" s="210">
        <f>'Exhibit 1'!J120</f>
        <v>0.41086812241877918</v>
      </c>
      <c r="C229" s="90">
        <f ca="1">C59/C30</f>
        <v>0.39698948593344197</v>
      </c>
      <c r="D229" s="90">
        <f ca="1">D59/D30</f>
        <v>0.36100585058482038</v>
      </c>
      <c r="E229" s="90">
        <f ca="1">E59/E30</f>
        <v>0.3748662193536928</v>
      </c>
      <c r="F229" s="90">
        <f ca="1">F59/F30</f>
        <v>0.36486568364872823</v>
      </c>
      <c r="G229" s="90">
        <f ca="1">G59/G30</f>
        <v>0.39566736525272833</v>
      </c>
      <c r="H229" s="90">
        <f ca="1">AVERAGE(C229:G229)</f>
        <v>0.37867892095468236</v>
      </c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</row>
    <row r="230" spans="1:20" s="11" customFormat="1" ht="15" customHeight="1">
      <c r="A230" s="37" t="s">
        <v>43</v>
      </c>
      <c r="B230" s="210">
        <f>'Exhibit 1'!J121</f>
        <v>0.99694352426825361</v>
      </c>
      <c r="C230" s="90">
        <f ca="1">(C99+C91+C92)/(C91+C92)</f>
        <v>0.84378391473608438</v>
      </c>
      <c r="D230" s="90">
        <f ca="1">(D99+D91+D92)/(D91+D92)</f>
        <v>0.9379764823686918</v>
      </c>
      <c r="E230" s="90">
        <f t="shared" ref="E230:G230" ca="1" si="75">(E99+E91+E92)/(E91+E92)</f>
        <v>1.126856350742395</v>
      </c>
      <c r="F230" s="90">
        <f t="shared" ca="1" si="75"/>
        <v>0.96972821373093798</v>
      </c>
      <c r="G230" s="90">
        <f t="shared" ca="1" si="75"/>
        <v>1.2185481183683988</v>
      </c>
      <c r="H230" s="90">
        <f ca="1">AVERAGE(C230:G230)</f>
        <v>1.0193786159893015</v>
      </c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</row>
    <row r="231" spans="1:20" s="11" customFormat="1" ht="15" customHeight="1">
      <c r="A231" s="37"/>
      <c r="B231" s="159"/>
      <c r="C231" s="23"/>
      <c r="D231" s="23"/>
      <c r="E231" s="23"/>
      <c r="F231" s="23"/>
      <c r="G231" s="23"/>
      <c r="H231" s="90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</row>
    <row r="232" spans="1:20" s="11" customFormat="1" ht="15" customHeight="1">
      <c r="A232" s="78" t="s">
        <v>74</v>
      </c>
      <c r="B232" s="159"/>
      <c r="C232" s="23"/>
      <c r="D232" s="23"/>
      <c r="E232" s="23"/>
      <c r="F232" s="23"/>
      <c r="G232" s="23"/>
      <c r="H232" s="90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</row>
    <row r="233" spans="1:20" s="11" customFormat="1" ht="15" customHeight="1">
      <c r="A233" s="37" t="str">
        <f>'Exhibit 1'!A124</f>
        <v>Gross Margin</v>
      </c>
      <c r="B233" s="211">
        <f>'Exhibit 1'!J124</f>
        <v>7.8026784379809463E-2</v>
      </c>
      <c r="C233" s="104">
        <f>C89/C76</f>
        <v>7.4354620173095326E-2</v>
      </c>
      <c r="D233" s="104">
        <f t="shared" ref="D233:G233" si="76">D89/D76</f>
        <v>9.5839437474936034E-2</v>
      </c>
      <c r="E233" s="104">
        <f t="shared" si="76"/>
        <v>0.10603145276248291</v>
      </c>
      <c r="F233" s="104">
        <f t="shared" si="76"/>
        <v>7.4487223707186245E-2</v>
      </c>
      <c r="G233" s="104">
        <f t="shared" si="76"/>
        <v>9.6215639213995993E-2</v>
      </c>
      <c r="H233" s="104">
        <f>AVERAGE(C233:G233)</f>
        <v>8.9385674666339301E-2</v>
      </c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</row>
    <row r="234" spans="1:20" s="11" customFormat="1" ht="15" customHeight="1">
      <c r="A234" s="37" t="str">
        <f>'Exhibit 1'!A125</f>
        <v>Net Margin</v>
      </c>
      <c r="B234" s="211">
        <f>'Exhibit 1'!J125</f>
        <v>-2.2173473881161843E-4</v>
      </c>
      <c r="C234" s="104">
        <f ca="1">C102/C76</f>
        <v>-2.4485121723005428E-2</v>
      </c>
      <c r="D234" s="104">
        <f t="shared" ref="D234:G234" ca="1" si="77">D102/D76</f>
        <v>-1.0165928956285165E-2</v>
      </c>
      <c r="E234" s="104">
        <f t="shared" ca="1" si="77"/>
        <v>1.8454549554886675E-2</v>
      </c>
      <c r="F234" s="104">
        <f t="shared" ca="1" si="77"/>
        <v>-4.132672605520177E-3</v>
      </c>
      <c r="G234" s="104">
        <f t="shared" ca="1" si="77"/>
        <v>2.7640662336847081E-2</v>
      </c>
      <c r="H234" s="104">
        <f t="shared" ref="H234:H235" ca="1" si="78">AVERAGE(C234:G234)</f>
        <v>1.4622977213845979E-3</v>
      </c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</row>
    <row r="235" spans="1:20" s="11" customFormat="1" ht="15" customHeight="1">
      <c r="A235" s="37" t="s">
        <v>35</v>
      </c>
      <c r="B235" s="211">
        <f>'Exhibit 1'!J126</f>
        <v>6.1937533121834733E-2</v>
      </c>
      <c r="C235" s="67">
        <f ca="1">(C102+((C91+C92)*(1-(C101/C99))))/((B38+C38)/2)</f>
        <v>6.7266209149454304E-2</v>
      </c>
      <c r="D235" s="67">
        <f t="shared" ref="D235:G235" ca="1" si="79">(D102+((D91+D92)*(1-(D101/D99))))/((C38+D38)/2)</f>
        <v>7.5206398609420327E-2</v>
      </c>
      <c r="E235" s="67">
        <f t="shared" ca="1" si="79"/>
        <v>8.4273046697993265E-2</v>
      </c>
      <c r="F235" s="67">
        <f t="shared" ca="1" si="79"/>
        <v>7.0688613141549506E-2</v>
      </c>
      <c r="G235" s="67">
        <f t="shared" ca="1" si="79"/>
        <v>8.6064636658654742E-2</v>
      </c>
      <c r="H235" s="104">
        <f t="shared" ca="1" si="78"/>
        <v>7.669978085141442E-2</v>
      </c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</row>
    <row r="236" spans="1:20" s="11" customFormat="1" ht="15" customHeight="1">
      <c r="A236" s="37" t="s">
        <v>73</v>
      </c>
      <c r="B236" s="211">
        <f>'Exhibit 1'!J127</f>
        <v>7.6636972388814395E-2</v>
      </c>
      <c r="C236" s="67">
        <f ca="1">(C102+((C92+C91)*(1-(C101/C99))))/((B48+B51+B57+C48+C51+C57)/2)</f>
        <v>8.4396866619159266E-2</v>
      </c>
      <c r="D236" s="67">
        <f t="shared" ref="D236:G236" ca="1" si="80">(D102+((D92+D91)*(1-(D101/D99))))/((C48+C51+C57+D48+D51+D57)/2)</f>
        <v>9.3395656858053053E-2</v>
      </c>
      <c r="E236" s="67">
        <f t="shared" ca="1" si="80"/>
        <v>0.10507223322127633</v>
      </c>
      <c r="F236" s="67">
        <f t="shared" ca="1" si="80"/>
        <v>8.8637566844682311E-2</v>
      </c>
      <c r="G236" s="67">
        <f t="shared" ca="1" si="80"/>
        <v>0.10868711748706224</v>
      </c>
      <c r="H236" s="67">
        <f ca="1">AVERAGE(C236:G236)</f>
        <v>9.603788820604664E-2</v>
      </c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</row>
    <row r="237" spans="1:20" s="11" customFormat="1" ht="15" customHeight="1">
      <c r="A237" s="37" t="s">
        <v>72</v>
      </c>
      <c r="B237" s="211">
        <f>'Exhibit 1'!J128</f>
        <v>1.228892390316326E-2</v>
      </c>
      <c r="C237" s="67">
        <f ca="1">(C102-C104)/((C59+B59)/2)</f>
        <v>-6.7788901194651627E-2</v>
      </c>
      <c r="D237" s="67">
        <f ca="1">(D102-D104)/((D59+C59)/2)</f>
        <v>-2.8471523874740487E-2</v>
      </c>
      <c r="E237" s="67">
        <f ca="1">(E102-E104)/((E59+D59)/2)</f>
        <v>5.3703442287892686E-2</v>
      </c>
      <c r="F237" s="67">
        <f ca="1">(F102-F104)/((F59+E59)/2)</f>
        <v>-1.2124981568314975E-2</v>
      </c>
      <c r="G237" s="67">
        <f ca="1">(G102-G104)/((G59+F59)/2)</f>
        <v>8.060162464248817E-2</v>
      </c>
      <c r="H237" s="67">
        <f ca="1">AVERAGE(C237:G237)</f>
        <v>5.1839320585347539E-3</v>
      </c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</row>
    <row r="238" spans="1:20" s="11" customFormat="1" ht="15" customHeight="1">
      <c r="A238" s="37"/>
      <c r="B238" s="159"/>
      <c r="C238" s="23"/>
      <c r="D238" s="23"/>
      <c r="E238" s="23"/>
      <c r="F238" s="23"/>
      <c r="G238" s="23"/>
      <c r="H238" s="90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</row>
    <row r="239" spans="1:20" s="11" customFormat="1" ht="15" customHeight="1">
      <c r="A239" s="78" t="s">
        <v>2</v>
      </c>
      <c r="B239" s="159"/>
      <c r="C239" s="23"/>
      <c r="D239" s="23"/>
      <c r="E239" s="23"/>
      <c r="F239" s="23"/>
      <c r="G239" s="23"/>
      <c r="H239" s="90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</row>
    <row r="240" spans="1:20" s="11" customFormat="1" ht="15" customHeight="1">
      <c r="A240" s="37" t="s">
        <v>37</v>
      </c>
      <c r="B240" s="212">
        <f>'Exhibit 1'!J131</f>
        <v>17.653917915779292</v>
      </c>
      <c r="C240" s="90">
        <f ca="1">C76/((C13+C15+B13+B15)/2)</f>
        <v>14.470744348057137</v>
      </c>
      <c r="D240" s="90">
        <f ca="1">D76/((D13+D15+C13+C15)/2)</f>
        <v>12.678221099643769</v>
      </c>
      <c r="E240" s="90">
        <f t="shared" ref="E240:G240" ca="1" si="81">E76/((E13+E15+D13+D15)/2)</f>
        <v>13.248499866000472</v>
      </c>
      <c r="F240" s="90">
        <f t="shared" ca="1" si="81"/>
        <v>13.105313035689536</v>
      </c>
      <c r="G240" s="90">
        <f t="shared" ca="1" si="81"/>
        <v>13.105313035689536</v>
      </c>
      <c r="H240" s="90">
        <f ca="1">AVERAGE(C240:G240)</f>
        <v>13.321618277016089</v>
      </c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</row>
    <row r="241" spans="1:20" s="11" customFormat="1" ht="15" customHeight="1">
      <c r="A241" s="37" t="s">
        <v>36</v>
      </c>
      <c r="B241" s="212">
        <f>'Exhibit 1'!J132</f>
        <v>7.9750624683822338</v>
      </c>
      <c r="C241" s="90">
        <f ca="1">C76/((B16+C16)/2)</f>
        <v>7.6269815053107815</v>
      </c>
      <c r="D241" s="90">
        <f t="shared" ref="D241:G241" ca="1" si="82">D76/((C16+D16)/2)</f>
        <v>7.84950945662432</v>
      </c>
      <c r="E241" s="90">
        <f t="shared" ca="1" si="82"/>
        <v>8.249964486002316</v>
      </c>
      <c r="F241" s="90">
        <f t="shared" ca="1" si="82"/>
        <v>8.1451578043123565</v>
      </c>
      <c r="G241" s="90">
        <f t="shared" ca="1" si="82"/>
        <v>8.1360230113383789</v>
      </c>
      <c r="H241" s="90">
        <f ca="1">AVERAGE(C241:G241)</f>
        <v>8.0015272527176311</v>
      </c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</row>
    <row r="242" spans="1:20" s="11" customFormat="1" ht="15" customHeight="1">
      <c r="A242" s="37" t="s">
        <v>40</v>
      </c>
      <c r="B242" s="210">
        <f>'Exhibit 1'!J133</f>
        <v>2.9386995780152585</v>
      </c>
      <c r="C242" s="90">
        <f ca="1">C76/((B20+C20-B46-C46)/2)</f>
        <v>2.2001122839665337</v>
      </c>
      <c r="D242" s="90">
        <f ca="1">D76/((C20+D20-C46-D46)/2)</f>
        <v>2.0030010809902419</v>
      </c>
      <c r="E242" s="90">
        <f ca="1">E76/((D20+E20-D46-E46)/2)</f>
        <v>2.0918419662557315</v>
      </c>
      <c r="F242" s="90">
        <f ca="1">F76/((E20+F20-E46-F46)/2)</f>
        <v>2.1053494284613339</v>
      </c>
      <c r="G242" s="90">
        <f ca="1">G76/((F20+G20-F46-G46)/2)</f>
        <v>2.1298838837430245</v>
      </c>
      <c r="H242" s="90">
        <f ca="1">AVERAGE(C242:G242)</f>
        <v>2.1060377286833734</v>
      </c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</row>
    <row r="243" spans="1:20" s="11" customFormat="1" ht="15" customHeight="1">
      <c r="A243" s="37" t="s">
        <v>38</v>
      </c>
      <c r="B243" s="210">
        <f>'Exhibit 1'!J134</f>
        <v>1.0578716080738777</v>
      </c>
      <c r="C243" s="90">
        <f>C76/((B30+C30)/2)</f>
        <v>1.1470254359116008</v>
      </c>
      <c r="D243" s="90">
        <f>D76/((C30+D30)/2)</f>
        <v>1.0600950047595001</v>
      </c>
      <c r="E243" s="90">
        <f>E76/((D30+E30)/2)</f>
        <v>1.0707416691988689</v>
      </c>
      <c r="F243" s="90">
        <f>F76/((E30+F30)/2)</f>
        <v>1.0851445501950805</v>
      </c>
      <c r="G243" s="90">
        <f>G76/((F30+G30)/2)</f>
        <v>1.1085915453958324</v>
      </c>
      <c r="H243" s="90">
        <f>AVERAGE(C243:G243)</f>
        <v>1.0943196410921765</v>
      </c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</row>
    <row r="244" spans="1:20" s="11" customFormat="1" ht="15" customHeight="1">
      <c r="A244" s="37" t="s">
        <v>39</v>
      </c>
      <c r="B244" s="210">
        <f>'Exhibit 1'!J135</f>
        <v>0.48848941528569106</v>
      </c>
      <c r="C244" s="90">
        <f ca="1">C76/((B38+C38)/2)</f>
        <v>0.50861503511504447</v>
      </c>
      <c r="D244" s="90">
        <f t="shared" ref="D244:G244" ca="1" si="83">D76/((C38+D38)/2)</f>
        <v>0.4891839119084988</v>
      </c>
      <c r="E244" s="90">
        <f t="shared" ca="1" si="83"/>
        <v>0.51407786338776307</v>
      </c>
      <c r="F244" s="90">
        <f t="shared" ca="1" si="83"/>
        <v>0.53395723672847806</v>
      </c>
      <c r="G244" s="90">
        <f t="shared" ca="1" si="83"/>
        <v>0.55844535423915509</v>
      </c>
      <c r="H244" s="90">
        <f ca="1">AVERAGE(C244:G244)</f>
        <v>0.520855880275788</v>
      </c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</row>
    <row r="245" spans="1:20" s="11" customFormat="1" ht="15" customHeight="1">
      <c r="A245" s="37"/>
      <c r="B245" s="159"/>
      <c r="H245" s="67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</row>
    <row r="246" spans="1:20" s="11" customFormat="1" ht="15" customHeight="1">
      <c r="A246" s="78" t="s">
        <v>75</v>
      </c>
      <c r="B246" s="159"/>
      <c r="H246" s="67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</row>
    <row r="247" spans="1:20" s="11" customFormat="1" ht="15" customHeight="1">
      <c r="A247" s="37" t="s">
        <v>76</v>
      </c>
      <c r="B247" s="159"/>
      <c r="C247" s="17"/>
      <c r="H247" s="67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</row>
    <row r="248" spans="1:20" s="11" customFormat="1" ht="15" customHeight="1">
      <c r="A248" s="37" t="s">
        <v>78</v>
      </c>
      <c r="B248" s="159"/>
      <c r="H248" s="67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</row>
    <row r="249" spans="1:20" s="11" customFormat="1" ht="15" customHeight="1">
      <c r="A249" s="37" t="s">
        <v>77</v>
      </c>
      <c r="B249" s="159"/>
      <c r="H249" s="67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</row>
    <row r="250" spans="1:20" s="11" customFormat="1" ht="15" customHeight="1">
      <c r="A250" s="37"/>
      <c r="B250" s="159"/>
      <c r="H250" s="67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</row>
    <row r="251" spans="1:20" s="11" customFormat="1" ht="15" customHeight="1">
      <c r="A251" s="78" t="s">
        <v>91</v>
      </c>
      <c r="B251" s="159"/>
      <c r="H251" s="67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</row>
    <row r="252" spans="1:20" s="11" customFormat="1" ht="15" customHeight="1">
      <c r="A252" s="37" t="s">
        <v>67</v>
      </c>
      <c r="B252" s="211">
        <f>'Exhibit 1'!J143</f>
        <v>0.77103037870086588</v>
      </c>
      <c r="C252" s="67">
        <f ca="1">(C42+C48+C51)/(C42+C48+C51+C59)</f>
        <v>0.77927022513910449</v>
      </c>
      <c r="D252" s="67">
        <f ca="1">(D42+D48+D51)/(D42+D48+D51+D59)</f>
        <v>0.78693128938387735</v>
      </c>
      <c r="E252" s="67">
        <f ca="1">(E42+E48+E51)/(E42+E48+E51+E59)</f>
        <v>0.77237245177052283</v>
      </c>
      <c r="F252" s="67">
        <f ca="1">(F42+F48+F51)/(F42+F48+F51+F59)</f>
        <v>0.77120048181321321</v>
      </c>
      <c r="G252" s="67">
        <f ca="1">(G42+G48+G51)/(G42+G48+G51+G59)</f>
        <v>0.74455013493962718</v>
      </c>
      <c r="H252" s="67">
        <f ca="1">AVERAGE(C252:G252)</f>
        <v>0.77086491660926915</v>
      </c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</row>
    <row r="253" spans="1:20" s="11" customFormat="1" ht="15" customHeight="1">
      <c r="A253" s="37" t="s">
        <v>92</v>
      </c>
      <c r="B253" s="211">
        <f>'Exhibit 1'!J144</f>
        <v>0.22896962129913412</v>
      </c>
      <c r="C253" s="67">
        <f ca="1">C59/(C42+C48+C51+C59)</f>
        <v>0.22072977486089557</v>
      </c>
      <c r="D253" s="67">
        <f ca="1">D59/(D42+D48+D51+D59)</f>
        <v>0.21306871061612256</v>
      </c>
      <c r="E253" s="67">
        <f ca="1">E59/(E42+E48+E51+E59)</f>
        <v>0.22762754822947726</v>
      </c>
      <c r="F253" s="67">
        <f ca="1">F59/(F42+F48+F51+F59)</f>
        <v>0.2287995181867869</v>
      </c>
      <c r="G253" s="67">
        <f ca="1">G59/(G42+G48+G51+G59)</f>
        <v>0.25544986506037265</v>
      </c>
      <c r="H253" s="67">
        <f ca="1">AVERAGE(C253:G253)</f>
        <v>0.22913508339073099</v>
      </c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</row>
    <row r="254" spans="1:20" s="11" customFormat="1" ht="15" customHeight="1">
      <c r="A254" s="37"/>
      <c r="B254" s="211"/>
      <c r="C254" s="67"/>
      <c r="D254" s="37"/>
      <c r="E254" s="37"/>
      <c r="F254" s="37"/>
      <c r="G254" s="37"/>
      <c r="H254" s="67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</row>
    <row r="255" spans="1:20" s="11" customFormat="1" ht="15" customHeight="1">
      <c r="A255" s="78" t="s">
        <v>93</v>
      </c>
      <c r="B255" s="211"/>
      <c r="C255" s="37"/>
      <c r="D255" s="37"/>
      <c r="E255" s="37"/>
      <c r="F255" s="37"/>
      <c r="G255" s="37"/>
      <c r="H255" s="67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</row>
    <row r="256" spans="1:20" s="11" customFormat="1" ht="15" customHeight="1">
      <c r="A256" s="37" t="s">
        <v>94</v>
      </c>
      <c r="B256" s="211">
        <f>'Exhibit 1'!J147</f>
        <v>0</v>
      </c>
      <c r="C256" s="67">
        <f ca="1">C42/(C42+C48+C59)</f>
        <v>0</v>
      </c>
      <c r="D256" s="67">
        <f ca="1">D42/(D42+D48+D59)</f>
        <v>0</v>
      </c>
      <c r="E256" s="67">
        <f ca="1">E42/(E42+E48+E59)</f>
        <v>0</v>
      </c>
      <c r="F256" s="67">
        <f ca="1">F42/(F42+F48+F59)</f>
        <v>0</v>
      </c>
      <c r="G256" s="67">
        <f ca="1">G42/(G42+G48+G59)</f>
        <v>0</v>
      </c>
      <c r="H256" s="67">
        <f ca="1">AVERAGE(C256:G256)</f>
        <v>0</v>
      </c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</row>
    <row r="257" spans="1:20" s="11" customFormat="1" ht="15" customHeight="1">
      <c r="A257" s="37" t="s">
        <v>67</v>
      </c>
      <c r="B257" s="211">
        <f>'Exhibit 1'!J148</f>
        <v>0.77103037870086588</v>
      </c>
      <c r="C257" s="67">
        <f ca="1">(C42+C48+C51)/(C42+C48+C51+C59)</f>
        <v>0.77927022513910449</v>
      </c>
      <c r="D257" s="67">
        <f ca="1">(D42+D48+D51)/(D42+D48+D51+D59)</f>
        <v>0.78693128938387735</v>
      </c>
      <c r="E257" s="67">
        <f ca="1">(E42+E48+E51)/(E42+E48+E51+E59)</f>
        <v>0.77237245177052283</v>
      </c>
      <c r="F257" s="67">
        <f ca="1">(F42+F48+F51)/(F42+F48+F51+F59)</f>
        <v>0.77120048181321321</v>
      </c>
      <c r="G257" s="67">
        <f ca="1">(G42+G48+G51)/(G42+G48+G51+G59)</f>
        <v>0.74455013493962718</v>
      </c>
      <c r="H257" s="67">
        <f ca="1">AVERAGE(C257:G257)</f>
        <v>0.77086491660926915</v>
      </c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</row>
    <row r="258" spans="1:20" s="11" customFormat="1" ht="15" customHeight="1">
      <c r="A258" s="37" t="s">
        <v>5</v>
      </c>
      <c r="B258" s="211">
        <f>'Exhibit 1'!J149</f>
        <v>0.22896962129913412</v>
      </c>
      <c r="C258" s="67">
        <f ca="1">C59/(C42+C48+C51+C59)</f>
        <v>0.22072977486089557</v>
      </c>
      <c r="D258" s="67">
        <f ca="1">D59/(D42+D48+D51+D59)</f>
        <v>0.21306871061612256</v>
      </c>
      <c r="E258" s="67">
        <f ca="1">E59/(E42+E48+E51+E59)</f>
        <v>0.22762754822947726</v>
      </c>
      <c r="F258" s="67">
        <f ca="1">F59/(F42+F48+F51+F59)</f>
        <v>0.2287995181867869</v>
      </c>
      <c r="G258" s="67">
        <f ca="1">G59/(G42+G48+G51+G59)</f>
        <v>0.25544986506037265</v>
      </c>
      <c r="H258" s="67">
        <f ca="1">AVERAGE(C258:G258)</f>
        <v>0.22913508339073099</v>
      </c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</row>
    <row r="259" spans="1:20" s="11" customFormat="1" ht="15" customHeight="1">
      <c r="A259" s="37"/>
      <c r="B259" s="208"/>
      <c r="C259" s="37"/>
      <c r="D259" s="37"/>
      <c r="E259" s="37"/>
      <c r="F259" s="37"/>
      <c r="G259" s="37"/>
      <c r="H259" s="67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</row>
    <row r="260" spans="1:20" s="11" customFormat="1" ht="15" customHeight="1">
      <c r="B260" s="66"/>
      <c r="D260" s="15"/>
      <c r="H260" s="67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</row>
    <row r="261" spans="1:20" s="11" customFormat="1" ht="15" customHeight="1">
      <c r="B261" s="66"/>
      <c r="H261" s="67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</row>
    <row r="262" spans="1:20" s="11" customFormat="1" ht="15" customHeight="1">
      <c r="B262" s="66"/>
      <c r="H262" s="67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</row>
    <row r="263" spans="1:20" s="11" customFormat="1" ht="14.25" customHeight="1">
      <c r="A263" s="40"/>
      <c r="B263" s="166"/>
      <c r="C263" s="40"/>
      <c r="D263" s="40"/>
      <c r="H263" s="67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</row>
    <row r="264" spans="1:20" s="11" customFormat="1" ht="15" customHeight="1">
      <c r="A264" s="40"/>
      <c r="B264" s="166"/>
      <c r="C264" s="162"/>
      <c r="D264" s="162"/>
      <c r="E264" s="162"/>
      <c r="F264" s="162"/>
      <c r="G264" s="162"/>
      <c r="H264" s="162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</row>
    <row r="265" spans="1:20" s="11" customFormat="1" ht="15" customHeight="1">
      <c r="A265" s="40"/>
      <c r="B265" s="166"/>
      <c r="C265" s="40"/>
      <c r="D265" s="40"/>
      <c r="E265" s="40"/>
      <c r="F265" s="40"/>
      <c r="G265" s="40"/>
      <c r="H265" s="67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</row>
    <row r="266" spans="1:20" s="11" customFormat="1" ht="15" customHeight="1">
      <c r="A266" s="40"/>
      <c r="B266" s="166"/>
      <c r="C266" s="41"/>
      <c r="D266" s="40"/>
      <c r="H266" s="67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</row>
    <row r="267" spans="1:20" s="11" customFormat="1" ht="15" customHeight="1">
      <c r="A267" s="40"/>
      <c r="B267" s="166"/>
      <c r="C267" s="40"/>
      <c r="D267" s="40"/>
      <c r="H267" s="67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</row>
    <row r="268" spans="1:20" s="11" customFormat="1" ht="15" customHeight="1">
      <c r="A268" s="40"/>
      <c r="B268" s="166"/>
      <c r="C268" s="209"/>
      <c r="D268" s="41"/>
      <c r="H268" s="67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</row>
    <row r="269" spans="1:20" s="11" customFormat="1" ht="15" customHeight="1">
      <c r="A269" s="40"/>
      <c r="B269" s="166"/>
      <c r="C269" s="40"/>
      <c r="D269" s="41"/>
      <c r="H269" s="67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</row>
    <row r="270" spans="1:20" s="11" customFormat="1" ht="15" customHeight="1">
      <c r="A270" s="40"/>
      <c r="B270" s="166"/>
      <c r="C270" s="40"/>
      <c r="D270" s="41"/>
      <c r="H270" s="67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</row>
    <row r="271" spans="1:20" s="11" customFormat="1" ht="15" customHeight="1">
      <c r="A271" s="40"/>
      <c r="B271" s="166"/>
      <c r="C271" s="40"/>
      <c r="D271" s="41"/>
      <c r="H271" s="67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</row>
    <row r="272" spans="1:20" s="11" customFormat="1" ht="15" customHeight="1">
      <c r="A272" s="40"/>
      <c r="B272" s="166"/>
      <c r="C272" s="40"/>
      <c r="D272" s="40"/>
      <c r="H272" s="67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</row>
    <row r="273" spans="2:20" s="11" customFormat="1" ht="15" customHeight="1">
      <c r="B273" s="66"/>
      <c r="H273" s="67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</row>
    <row r="274" spans="2:20" s="11" customFormat="1" ht="15" customHeight="1">
      <c r="B274" s="66"/>
      <c r="H274" s="67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</row>
    <row r="275" spans="2:20" s="11" customFormat="1" ht="15" customHeight="1">
      <c r="B275" s="66"/>
      <c r="H275" s="67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</row>
    <row r="276" spans="2:20" s="11" customFormat="1" ht="15" customHeight="1">
      <c r="B276" s="66"/>
      <c r="H276" s="67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</row>
    <row r="277" spans="2:20" s="11" customFormat="1" ht="15" customHeight="1">
      <c r="B277" s="66"/>
      <c r="H277" s="67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</row>
    <row r="278" spans="2:20" s="11" customFormat="1" ht="15" customHeight="1">
      <c r="B278" s="66"/>
      <c r="H278" s="67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</row>
    <row r="279" spans="2:20" s="11" customFormat="1" ht="15" customHeight="1">
      <c r="B279" s="66"/>
      <c r="H279" s="67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</row>
    <row r="280" spans="2:20" s="11" customFormat="1" ht="15" customHeight="1">
      <c r="B280" s="66"/>
      <c r="H280" s="67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</row>
    <row r="281" spans="2:20" s="11" customFormat="1" ht="15" customHeight="1">
      <c r="B281" s="66"/>
      <c r="H281" s="67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</row>
    <row r="282" spans="2:20" s="11" customFormat="1" ht="15" customHeight="1">
      <c r="B282" s="66"/>
      <c r="H282" s="67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</row>
    <row r="283" spans="2:20" s="11" customFormat="1" ht="15" customHeight="1">
      <c r="B283" s="66"/>
      <c r="H283" s="67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</row>
    <row r="284" spans="2:20" s="11" customFormat="1" ht="15" customHeight="1">
      <c r="B284" s="66"/>
      <c r="C284" s="17"/>
      <c r="H284" s="67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</row>
    <row r="285" spans="2:20" s="11" customFormat="1" ht="15" customHeight="1">
      <c r="B285" s="66"/>
      <c r="H285" s="67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</row>
    <row r="286" spans="2:20" s="11" customFormat="1" ht="15" customHeight="1">
      <c r="B286" s="66"/>
      <c r="H286" s="67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</row>
    <row r="287" spans="2:20" s="11" customFormat="1" ht="15" customHeight="1">
      <c r="B287" s="66"/>
      <c r="H287" s="67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</row>
    <row r="288" spans="2:20" s="11" customFormat="1" ht="15" customHeight="1">
      <c r="B288" s="66"/>
      <c r="H288" s="67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</row>
    <row r="289" spans="2:20" s="11" customFormat="1" ht="15" customHeight="1">
      <c r="B289" s="66"/>
      <c r="H289" s="67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</row>
    <row r="290" spans="2:20" s="11" customFormat="1" ht="15" customHeight="1">
      <c r="B290" s="66"/>
      <c r="H290" s="67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</row>
    <row r="291" spans="2:20" s="11" customFormat="1" ht="15" customHeight="1">
      <c r="B291" s="66"/>
      <c r="H291" s="67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</row>
    <row r="292" spans="2:20" s="11" customFormat="1" ht="15" customHeight="1">
      <c r="B292" s="66"/>
      <c r="H292" s="67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</row>
    <row r="293" spans="2:20" s="11" customFormat="1" ht="15" customHeight="1">
      <c r="B293" s="66"/>
      <c r="H293" s="67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</row>
    <row r="294" spans="2:20" s="11" customFormat="1" ht="15" customHeight="1">
      <c r="B294" s="66"/>
      <c r="H294" s="67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</row>
    <row r="295" spans="2:20" s="11" customFormat="1" ht="15" customHeight="1">
      <c r="B295" s="66"/>
      <c r="H295" s="67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</row>
    <row r="296" spans="2:20" s="11" customFormat="1" ht="15" customHeight="1">
      <c r="B296" s="66"/>
      <c r="H296" s="67"/>
    </row>
    <row r="297" spans="2:20" s="11" customFormat="1" ht="15" customHeight="1">
      <c r="B297" s="66"/>
      <c r="H297" s="67"/>
    </row>
    <row r="298" spans="2:20" s="11" customFormat="1" ht="15" customHeight="1">
      <c r="B298" s="66"/>
      <c r="H298" s="67"/>
    </row>
    <row r="299" spans="2:20" s="11" customFormat="1" ht="15" customHeight="1">
      <c r="B299" s="66"/>
      <c r="H299" s="67"/>
    </row>
    <row r="300" spans="2:20" s="11" customFormat="1" ht="15" customHeight="1">
      <c r="B300" s="66"/>
      <c r="H300" s="67"/>
    </row>
    <row r="301" spans="2:20" s="11" customFormat="1" ht="15" customHeight="1">
      <c r="B301" s="66"/>
      <c r="H301" s="67"/>
    </row>
    <row r="302" spans="2:20" s="11" customFormat="1" ht="15" customHeight="1">
      <c r="B302" s="66"/>
      <c r="H302" s="67"/>
    </row>
    <row r="303" spans="2:20" s="11" customFormat="1" ht="15" customHeight="1">
      <c r="B303" s="66"/>
      <c r="H303" s="67"/>
    </row>
    <row r="304" spans="2:20" s="11" customFormat="1" ht="15" customHeight="1">
      <c r="B304" s="66"/>
      <c r="H304" s="67"/>
    </row>
    <row r="305" spans="2:8" s="11" customFormat="1" ht="15" customHeight="1">
      <c r="B305" s="66"/>
      <c r="H305" s="67"/>
    </row>
    <row r="306" spans="2:8" s="11" customFormat="1" ht="15" customHeight="1">
      <c r="B306" s="66"/>
      <c r="H306" s="67"/>
    </row>
    <row r="307" spans="2:8" s="11" customFormat="1" ht="15" customHeight="1">
      <c r="B307" s="66"/>
      <c r="H307" s="67"/>
    </row>
    <row r="308" spans="2:8" s="11" customFormat="1" ht="15" customHeight="1">
      <c r="B308" s="66"/>
      <c r="H308" s="67"/>
    </row>
    <row r="309" spans="2:8" s="11" customFormat="1" ht="15" customHeight="1">
      <c r="B309" s="66"/>
      <c r="H309" s="67"/>
    </row>
    <row r="310" spans="2:8" s="11" customFormat="1" ht="15" customHeight="1">
      <c r="B310" s="66"/>
      <c r="H310" s="67"/>
    </row>
    <row r="311" spans="2:8" s="11" customFormat="1" ht="15" customHeight="1">
      <c r="B311" s="66"/>
      <c r="H311" s="67"/>
    </row>
    <row r="312" spans="2:8" s="11" customFormat="1" ht="15" customHeight="1">
      <c r="B312" s="66"/>
      <c r="H312" s="67"/>
    </row>
    <row r="313" spans="2:8" s="11" customFormat="1" ht="15" customHeight="1">
      <c r="B313" s="66"/>
      <c r="H313" s="67"/>
    </row>
    <row r="314" spans="2:8" s="11" customFormat="1" ht="15" customHeight="1">
      <c r="B314" s="66"/>
      <c r="H314" s="67"/>
    </row>
    <row r="315" spans="2:8" s="11" customFormat="1" ht="15" customHeight="1">
      <c r="B315" s="66"/>
      <c r="H315" s="67"/>
    </row>
    <row r="316" spans="2:8" s="11" customFormat="1" ht="15" customHeight="1">
      <c r="B316" s="66"/>
      <c r="H316" s="67"/>
    </row>
    <row r="317" spans="2:8" s="11" customFormat="1" ht="15" customHeight="1">
      <c r="B317" s="66"/>
      <c r="H317" s="67"/>
    </row>
    <row r="318" spans="2:8" s="11" customFormat="1" ht="15" customHeight="1">
      <c r="B318" s="66"/>
      <c r="H318" s="67"/>
    </row>
    <row r="319" spans="2:8" s="11" customFormat="1" ht="15" customHeight="1">
      <c r="B319" s="66"/>
      <c r="H319" s="67"/>
    </row>
    <row r="320" spans="2:8" s="11" customFormat="1" ht="15" customHeight="1">
      <c r="B320" s="66"/>
      <c r="H320" s="67"/>
    </row>
    <row r="321" spans="2:8" s="11" customFormat="1" ht="15" customHeight="1">
      <c r="B321" s="66"/>
      <c r="H321" s="67"/>
    </row>
  </sheetData>
  <mergeCells count="14">
    <mergeCell ref="A154:H154"/>
    <mergeCell ref="A155:H155"/>
    <mergeCell ref="A214:H214"/>
    <mergeCell ref="A215:H215"/>
    <mergeCell ref="A68:H68"/>
    <mergeCell ref="A110:H110"/>
    <mergeCell ref="A111:H111"/>
    <mergeCell ref="A112:H112"/>
    <mergeCell ref="A153:H153"/>
    <mergeCell ref="A4:H4"/>
    <mergeCell ref="A5:H5"/>
    <mergeCell ref="A6:H6"/>
    <mergeCell ref="A66:H66"/>
    <mergeCell ref="A67:H67"/>
  </mergeCells>
  <phoneticPr fontId="4" type="noConversion"/>
  <printOptions horizontalCentered="1"/>
  <pageMargins left="0.66" right="0.66" top="0.75" bottom="0.75" header="0.5" footer="0.5"/>
  <pageSetup scale="75" fitToHeight="6" orientation="portrait" r:id="rId1"/>
  <headerFooter alignWithMargins="0"/>
  <rowBreaks count="4" manualBreakCount="4">
    <brk id="62" max="8" man="1"/>
    <brk id="106" max="8" man="1"/>
    <brk id="149" max="7" man="1"/>
    <brk id="20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showGridLines="0" zoomScaleNormal="100" workbookViewId="0">
      <selection activeCell="D24" sqref="D24"/>
    </sheetView>
  </sheetViews>
  <sheetFormatPr defaultRowHeight="12.75"/>
  <cols>
    <col min="1" max="1" width="6" style="30" customWidth="1"/>
    <col min="2" max="2" width="21.42578125" style="11" customWidth="1"/>
    <col min="3" max="3" width="13.42578125" style="11" customWidth="1"/>
    <col min="4" max="4" width="16.7109375" style="11" customWidth="1"/>
    <col min="5" max="5" width="23.140625" style="11" customWidth="1"/>
    <col min="6" max="7" width="11" style="11" customWidth="1"/>
    <col min="8" max="8" width="20.7109375" style="11" customWidth="1"/>
    <col min="9" max="9" width="16" style="11" bestFit="1" customWidth="1"/>
    <col min="10" max="10" width="10.85546875" style="11" customWidth="1"/>
    <col min="11" max="11" width="10.85546875" style="11" bestFit="1" customWidth="1"/>
    <col min="12" max="12" width="11.28515625" style="11" customWidth="1"/>
    <col min="13" max="13" width="10.85546875" style="11" bestFit="1" customWidth="1"/>
    <col min="14" max="14" width="11.140625" style="11" customWidth="1"/>
    <col min="15" max="15" width="10.5703125" style="11" customWidth="1"/>
    <col min="16" max="16" width="10.85546875" style="11" bestFit="1" customWidth="1"/>
    <col min="17" max="17" width="11.140625" style="11" customWidth="1"/>
    <col min="18" max="18" width="10.85546875" style="11" customWidth="1"/>
    <col min="19" max="19" width="10.85546875" customWidth="1"/>
  </cols>
  <sheetData>
    <row r="1" spans="1:17" ht="15.75">
      <c r="A1" s="30">
        <v>1</v>
      </c>
      <c r="B1" s="33" t="s">
        <v>15</v>
      </c>
      <c r="D1" s="32">
        <f ca="1">NOW()</f>
        <v>40805.393413541664</v>
      </c>
    </row>
    <row r="2" spans="1:17" ht="7.5" customHeight="1">
      <c r="A2" s="30">
        <f>A1+1</f>
        <v>2</v>
      </c>
      <c r="B2" s="33"/>
      <c r="D2" s="32"/>
    </row>
    <row r="3" spans="1:17" ht="15.75">
      <c r="A3" s="30">
        <f>A2+1</f>
        <v>3</v>
      </c>
      <c r="B3" s="33" t="s">
        <v>53</v>
      </c>
      <c r="C3" s="33"/>
      <c r="D3" s="33" t="s">
        <v>114</v>
      </c>
    </row>
    <row r="4" spans="1:17" ht="7.5" customHeight="1">
      <c r="A4" s="30">
        <f t="shared" ref="A4:A69" si="0">A3+1</f>
        <v>4</v>
      </c>
    </row>
    <row r="5" spans="1:17">
      <c r="A5" s="30">
        <f t="shared" si="0"/>
        <v>5</v>
      </c>
      <c r="B5" s="11" t="s">
        <v>12</v>
      </c>
      <c r="D5" s="15"/>
      <c r="F5" s="17"/>
      <c r="G5" s="15"/>
      <c r="I5" s="19"/>
      <c r="J5" s="19"/>
      <c r="K5" s="19"/>
      <c r="L5" s="45"/>
      <c r="M5" s="25"/>
    </row>
    <row r="6" spans="1:17">
      <c r="A6" s="30">
        <f t="shared" si="0"/>
        <v>6</v>
      </c>
      <c r="B6" s="11" t="s">
        <v>20</v>
      </c>
      <c r="D6" s="15">
        <v>1.4999999999999999E-2</v>
      </c>
      <c r="F6" s="54"/>
      <c r="G6" s="15"/>
      <c r="I6" s="19"/>
    </row>
    <row r="7" spans="1:17">
      <c r="A7" s="30">
        <f t="shared" si="0"/>
        <v>7</v>
      </c>
      <c r="B7" s="11" t="s">
        <v>18</v>
      </c>
      <c r="D7" s="15">
        <v>0.24</v>
      </c>
      <c r="E7" s="61" t="s">
        <v>180</v>
      </c>
      <c r="G7" s="15"/>
      <c r="I7" s="26"/>
      <c r="J7" s="26"/>
      <c r="K7" s="26"/>
      <c r="L7" s="26"/>
      <c r="M7" s="26"/>
      <c r="N7" s="26"/>
      <c r="O7" s="26"/>
      <c r="P7" s="26"/>
      <c r="Q7" s="26"/>
    </row>
    <row r="8" spans="1:17">
      <c r="A8" s="30">
        <f t="shared" si="0"/>
        <v>8</v>
      </c>
      <c r="B8" s="11" t="s">
        <v>11</v>
      </c>
      <c r="D8" s="15">
        <f>5%</f>
        <v>0.05</v>
      </c>
      <c r="F8" s="17"/>
      <c r="G8" s="15"/>
    </row>
    <row r="9" spans="1:17" ht="7.5" customHeight="1">
      <c r="A9" s="30">
        <f t="shared" si="0"/>
        <v>9</v>
      </c>
      <c r="D9" s="15"/>
      <c r="F9" s="27"/>
      <c r="G9" s="15"/>
    </row>
    <row r="10" spans="1:17" ht="7.5" customHeight="1">
      <c r="A10" s="30">
        <f t="shared" si="0"/>
        <v>10</v>
      </c>
      <c r="F10" s="21"/>
    </row>
    <row r="11" spans="1:17" ht="7.5" customHeight="1">
      <c r="A11" s="30">
        <f t="shared" si="0"/>
        <v>11</v>
      </c>
    </row>
    <row r="12" spans="1:17">
      <c r="A12" s="30">
        <f t="shared" si="0"/>
        <v>12</v>
      </c>
      <c r="B12" s="18" t="s">
        <v>97</v>
      </c>
      <c r="D12" s="15">
        <f>+'Exhibit 1'!J71</f>
        <v>1.6334329942404732E-2</v>
      </c>
      <c r="E12" s="9" t="s">
        <v>181</v>
      </c>
      <c r="F12" s="21"/>
    </row>
    <row r="13" spans="1:17">
      <c r="A13" s="30">
        <f t="shared" si="0"/>
        <v>13</v>
      </c>
      <c r="B13" s="18" t="s">
        <v>98</v>
      </c>
      <c r="E13" s="28"/>
    </row>
    <row r="14" spans="1:17">
      <c r="A14" s="30">
        <f t="shared" si="0"/>
        <v>14</v>
      </c>
      <c r="B14" s="18"/>
      <c r="D14" s="15"/>
      <c r="F14" s="26"/>
      <c r="H14" s="26"/>
    </row>
    <row r="15" spans="1:17">
      <c r="A15" s="30">
        <f t="shared" si="0"/>
        <v>15</v>
      </c>
      <c r="B15" s="20" t="s">
        <v>26</v>
      </c>
    </row>
    <row r="16" spans="1:17">
      <c r="A16" s="30">
        <f t="shared" si="0"/>
        <v>16</v>
      </c>
      <c r="B16" s="11" t="str">
        <f>'Exhibit 1'!A74</f>
        <v>Fuel (5)</v>
      </c>
      <c r="D16" s="15">
        <f>+'Exhibit 1'!U74-0.01</f>
        <v>0.34834761360875494</v>
      </c>
      <c r="E16" s="9" t="s">
        <v>181</v>
      </c>
      <c r="F16" s="21"/>
    </row>
    <row r="17" spans="1:17">
      <c r="A17" s="30">
        <f t="shared" si="0"/>
        <v>17</v>
      </c>
      <c r="B17" s="11" t="str">
        <f>'Exhibit 1'!A75</f>
        <v>Power Production (21 - 5)</v>
      </c>
      <c r="D17" s="15">
        <f>+'Exhibit 1'!U75</f>
        <v>0.12216661534568241</v>
      </c>
      <c r="E17" s="9" t="s">
        <v>181</v>
      </c>
      <c r="F17" s="31"/>
    </row>
    <row r="18" spans="1:17">
      <c r="A18" s="30">
        <f t="shared" si="0"/>
        <v>18</v>
      </c>
      <c r="B18" s="11" t="str">
        <f>'Exhibit 1'!A76</f>
        <v>Cost of Purchased Power (79)</v>
      </c>
      <c r="D18" s="15">
        <f>+'Exhibit 1'!U76-0.025</f>
        <v>0.2420170698889256</v>
      </c>
      <c r="E18" s="9" t="s">
        <v>181</v>
      </c>
      <c r="F18" s="28"/>
      <c r="I18" s="19">
        <v>2005</v>
      </c>
      <c r="J18" s="19">
        <f>I18+1</f>
        <v>2006</v>
      </c>
      <c r="K18" s="19">
        <f>J18+1</f>
        <v>2007</v>
      </c>
      <c r="L18" s="19">
        <f>K18+1</f>
        <v>2008</v>
      </c>
      <c r="M18" s="64" t="s">
        <v>125</v>
      </c>
      <c r="N18" s="19"/>
      <c r="O18" s="19"/>
      <c r="P18" s="14"/>
      <c r="Q18" s="25"/>
    </row>
    <row r="19" spans="1:17">
      <c r="A19" s="30">
        <f t="shared" si="0"/>
        <v>19</v>
      </c>
      <c r="B19" s="11" t="str">
        <f>'Exhibit 1'!A77</f>
        <v>Operations / Transmission (99)</v>
      </c>
      <c r="D19" s="15">
        <f>+'Exhibit 1'!U77</f>
        <v>4.0275865322775849E-2</v>
      </c>
      <c r="E19" s="9" t="s">
        <v>181</v>
      </c>
      <c r="F19" s="28"/>
      <c r="I19" s="15">
        <f>'Exhibit 1'!D80/'Exhibit 1'!D21</f>
        <v>3.0260979623393924E-2</v>
      </c>
      <c r="J19" s="15">
        <f>'Exhibit 1'!E80/'Exhibit 1'!E21</f>
        <v>3.0295042743835834E-2</v>
      </c>
      <c r="K19" s="15">
        <f>'Exhibit 1'!F80/'Exhibit 1'!F21</f>
        <v>3.0364679340361571E-2</v>
      </c>
      <c r="L19" s="15">
        <f>'Exhibit 1'!G80/'Exhibit 1'!G21</f>
        <v>3.0212684356590983E-2</v>
      </c>
      <c r="M19" s="22">
        <f>AVERAGE(I19:L19)</f>
        <v>3.028334651604558E-2</v>
      </c>
      <c r="N19" s="22"/>
      <c r="O19" s="22"/>
      <c r="P19" s="22"/>
      <c r="Q19" s="22"/>
    </row>
    <row r="20" spans="1:17">
      <c r="A20" s="30">
        <f t="shared" si="0"/>
        <v>20</v>
      </c>
      <c r="B20" s="11" t="str">
        <f>'Exhibit 1'!A78</f>
        <v>Maintenance (111+156)</v>
      </c>
      <c r="D20" s="15">
        <f>+'Exhibit 1'!U78</f>
        <v>5.8089922020276349E-3</v>
      </c>
      <c r="E20" s="9" t="s">
        <v>181</v>
      </c>
      <c r="F20" s="28"/>
      <c r="G20" s="29"/>
      <c r="N20" s="22"/>
      <c r="O20" s="22"/>
      <c r="P20" s="22"/>
    </row>
    <row r="21" spans="1:17">
      <c r="A21" s="30">
        <f t="shared" si="0"/>
        <v>21</v>
      </c>
      <c r="B21" s="11" t="str">
        <f>'Exhibit 1'!A79</f>
        <v>Sales General &amp; Admin(164, 178, 197)</v>
      </c>
      <c r="D21" s="15">
        <f>+'Exhibit 1'!T79</f>
        <v>6.515162795934458E-2</v>
      </c>
      <c r="E21" s="9" t="s">
        <v>181</v>
      </c>
      <c r="F21" s="21"/>
      <c r="I21" s="15"/>
    </row>
    <row r="22" spans="1:17">
      <c r="A22" s="30">
        <f t="shared" si="0"/>
        <v>22</v>
      </c>
      <c r="B22" s="11" t="str">
        <f>'Exhibit 1'!A80</f>
        <v>Depreciation and Amortization (6, 9)</v>
      </c>
      <c r="D22" s="15">
        <f>+'Exhibit 1'!U80</f>
        <v>5.7888268403457691E-2</v>
      </c>
      <c r="E22" s="2" t="s">
        <v>182</v>
      </c>
    </row>
    <row r="23" spans="1:17">
      <c r="A23" s="30">
        <f t="shared" si="0"/>
        <v>23</v>
      </c>
      <c r="B23" s="11" t="str">
        <f>'Exhibit 1'!A81</f>
        <v>Taxes, other than income taxes (14, 16, 17)</v>
      </c>
      <c r="D23" s="15">
        <f>+'Exhibit 1'!U81</f>
        <v>1.6988584844969602E-2</v>
      </c>
      <c r="E23" s="2" t="s">
        <v>106</v>
      </c>
      <c r="F23" s="21"/>
    </row>
    <row r="24" spans="1:17">
      <c r="A24" s="30">
        <f t="shared" si="0"/>
        <v>24</v>
      </c>
      <c r="B24" s="11" t="str">
        <f>'Exhibit 1'!A86</f>
        <v xml:space="preserve">   Interest expense 70</v>
      </c>
      <c r="D24" s="44">
        <f>+'Exhibit 1'!U86</f>
        <v>0.12686455695136811</v>
      </c>
      <c r="E24" s="13" t="s">
        <v>122</v>
      </c>
      <c r="G24" s="9"/>
    </row>
    <row r="25" spans="1:17">
      <c r="A25" s="30">
        <f t="shared" si="0"/>
        <v>25</v>
      </c>
      <c r="B25" s="11" t="str">
        <f>'Exhibit 1'!A87</f>
        <v xml:space="preserve">   Interest and Other (Income) 37</v>
      </c>
      <c r="D25" s="44">
        <f>+'Exhibit 1'!U87</f>
        <v>-5.8301932484339597E-2</v>
      </c>
      <c r="E25" s="9" t="s">
        <v>123</v>
      </c>
      <c r="F25" s="21"/>
      <c r="K25" s="29"/>
    </row>
    <row r="26" spans="1:17">
      <c r="A26" s="30">
        <f t="shared" si="0"/>
        <v>26</v>
      </c>
      <c r="B26" s="11" t="str">
        <f>'Exhibit 1'!A88</f>
        <v xml:space="preserve">   Loss (Gain) on Sale of Assets 40</v>
      </c>
      <c r="D26" s="44">
        <f>+'Exhibit 1'!U88</f>
        <v>2.276589245175195E-4</v>
      </c>
      <c r="E26" s="2" t="s">
        <v>120</v>
      </c>
    </row>
    <row r="27" spans="1:17">
      <c r="A27" s="30">
        <f>+A26+1</f>
        <v>27</v>
      </c>
      <c r="B27" s="11" t="str">
        <f>'Exhibit 1'!A89</f>
        <v xml:space="preserve">   Equity in Earnings of Subsidiary Co 36</v>
      </c>
      <c r="D27" s="44">
        <f>+'Exhibit 1'!U89</f>
        <v>1.1473986025869634E-3</v>
      </c>
      <c r="E27" s="2"/>
    </row>
    <row r="28" spans="1:17">
      <c r="A28" s="30">
        <f>A27+1</f>
        <v>28</v>
      </c>
      <c r="B28" s="11" t="str">
        <f>'Exhibit 1'!A90</f>
        <v xml:space="preserve">   Other (Income) Expense</v>
      </c>
      <c r="D28" s="44">
        <f>+'Exhibit 1'!T90</f>
        <v>-9.7218300609990752E-4</v>
      </c>
      <c r="E28" s="2"/>
    </row>
    <row r="29" spans="1:17">
      <c r="A29" s="30">
        <f t="shared" si="0"/>
        <v>29</v>
      </c>
      <c r="B29" s="11" t="str">
        <f>'Exhibit 1'!A94</f>
        <v>Extraordinary Items</v>
      </c>
      <c r="D29" s="47">
        <v>0</v>
      </c>
    </row>
    <row r="30" spans="1:17">
      <c r="A30" s="30">
        <f t="shared" si="0"/>
        <v>30</v>
      </c>
      <c r="B30" s="11" t="s">
        <v>19</v>
      </c>
      <c r="D30" s="44">
        <v>0</v>
      </c>
      <c r="E30" s="56" t="s">
        <v>185</v>
      </c>
    </row>
    <row r="31" spans="1:17">
      <c r="A31" s="30">
        <f t="shared" si="0"/>
        <v>31</v>
      </c>
      <c r="D31" s="15"/>
    </row>
    <row r="32" spans="1:17">
      <c r="A32" s="30">
        <f t="shared" si="0"/>
        <v>32</v>
      </c>
      <c r="B32" s="11" t="str">
        <f>'Exhibit 1'!A98</f>
        <v>Preferred Stock Dividends</v>
      </c>
      <c r="D32" s="15">
        <v>0</v>
      </c>
      <c r="E32" s="11" t="s">
        <v>81</v>
      </c>
      <c r="F32" s="11" t="s">
        <v>87</v>
      </c>
    </row>
    <row r="33" spans="1:15">
      <c r="A33" s="30">
        <f t="shared" si="0"/>
        <v>33</v>
      </c>
      <c r="B33" s="11" t="str">
        <f>'Exhibit 1'!A99</f>
        <v>Return of Patrons Capital</v>
      </c>
      <c r="D33" s="15">
        <v>0.25</v>
      </c>
      <c r="E33" s="2" t="s">
        <v>126</v>
      </c>
    </row>
    <row r="34" spans="1:15">
      <c r="A34" s="30">
        <f t="shared" si="0"/>
        <v>34</v>
      </c>
      <c r="I34" s="19"/>
      <c r="J34" s="19"/>
      <c r="K34" s="19"/>
      <c r="L34" s="19"/>
      <c r="M34" s="19"/>
      <c r="N34" s="19"/>
    </row>
    <row r="35" spans="1:15">
      <c r="A35" s="30">
        <f t="shared" si="0"/>
        <v>35</v>
      </c>
      <c r="B35" s="11" t="str">
        <f>+'Exhibit 1'!A11</f>
        <v>Current Assets:</v>
      </c>
      <c r="D35" s="23"/>
      <c r="E35" s="9"/>
      <c r="F35" s="28"/>
      <c r="I35" s="57"/>
      <c r="J35" s="22"/>
      <c r="K35" s="22"/>
      <c r="L35" s="22"/>
      <c r="M35" s="22"/>
      <c r="N35" s="22"/>
      <c r="O35" s="22"/>
    </row>
    <row r="36" spans="1:15">
      <c r="A36" s="30">
        <f t="shared" si="0"/>
        <v>36</v>
      </c>
      <c r="B36" s="11" t="str">
        <f>+'Exhibit 1'!A12</f>
        <v xml:space="preserve">Unrestricted Cash </v>
      </c>
      <c r="D36" s="44">
        <f>1/13</f>
        <v>7.6923076923076927E-2</v>
      </c>
      <c r="E36" s="2" t="s">
        <v>196</v>
      </c>
      <c r="I36" s="58"/>
    </row>
    <row r="37" spans="1:15">
      <c r="A37" s="30">
        <f t="shared" si="0"/>
        <v>37</v>
      </c>
      <c r="B37" s="11" t="str">
        <f>+'Exhibit 1'!A13</f>
        <v>Restricted Deposits</v>
      </c>
      <c r="D37" s="44">
        <v>0</v>
      </c>
      <c r="E37" s="2" t="s">
        <v>195</v>
      </c>
      <c r="F37" s="2"/>
      <c r="I37" s="15"/>
      <c r="J37" s="15"/>
      <c r="K37" s="15"/>
      <c r="L37" s="15"/>
      <c r="M37" s="15"/>
      <c r="N37" s="15"/>
      <c r="O37" s="22"/>
    </row>
    <row r="38" spans="1:15">
      <c r="A38" s="30">
        <f t="shared" si="0"/>
        <v>38</v>
      </c>
      <c r="B38" s="11" t="str">
        <f>+'Exhibit 1'!A14</f>
        <v>Accounts Receivable, net</v>
      </c>
      <c r="D38" s="44">
        <f ca="1">+'Exhibit 1'!AD14</f>
        <v>0.13241313024280812</v>
      </c>
      <c r="E38" s="2" t="s">
        <v>197</v>
      </c>
      <c r="F38" s="2"/>
      <c r="I38" s="58"/>
    </row>
    <row r="39" spans="1:15">
      <c r="A39" s="30">
        <f t="shared" si="0"/>
        <v>39</v>
      </c>
      <c r="B39" s="11" t="str">
        <f>+'Exhibit 1'!A15</f>
        <v>Fuel Stock</v>
      </c>
      <c r="D39" s="44">
        <f>+'Exhibit 1'!X15</f>
        <v>5.0623618912070983E-2</v>
      </c>
      <c r="F39" s="2"/>
      <c r="I39" s="58"/>
    </row>
    <row r="40" spans="1:15">
      <c r="A40" s="30">
        <f t="shared" si="0"/>
        <v>40</v>
      </c>
      <c r="B40" s="11" t="str">
        <f>+'Exhibit 1'!A16</f>
        <v>Material and Supplies</v>
      </c>
      <c r="D40" s="44">
        <f>+'Exhibit 1'!X16</f>
        <v>3.8453942897988889E-2</v>
      </c>
      <c r="F40" s="162">
        <f>+'Exhibit 1'!B16/'Exhibit 1'!B71</f>
        <v>6.0662657066900487E-2</v>
      </c>
      <c r="G40" s="162">
        <f>+'Exhibit 1'!C16/'Exhibit 1'!C71</f>
        <v>6.8430426881739656E-2</v>
      </c>
      <c r="H40" s="162">
        <f>+'Exhibit 1'!D16/'Exhibit 1'!D71</f>
        <v>6.776818039698404E-2</v>
      </c>
      <c r="I40" s="162">
        <f>+'Exhibit 1'!E16/'Exhibit 1'!E71</f>
        <v>7.2199339159182502E-2</v>
      </c>
      <c r="J40" s="162">
        <f>+'Exhibit 1'!F16/'Exhibit 1'!F71</f>
        <v>6.7031846357695588E-2</v>
      </c>
      <c r="K40" s="162">
        <f>+'Exhibit 1'!G16/'Exhibit 1'!G71</f>
        <v>6.7219530487554274E-2</v>
      </c>
      <c r="L40" s="162">
        <f>+'Exhibit 1'!H16/'Exhibit 1'!H71</f>
        <v>7.7253257505649278E-2</v>
      </c>
      <c r="M40" s="162">
        <f>AVERAGE(F40:L40)</f>
        <v>6.8652176836529397E-2</v>
      </c>
    </row>
    <row r="41" spans="1:15" ht="12" customHeight="1">
      <c r="A41" s="30">
        <f t="shared" si="0"/>
        <v>41</v>
      </c>
      <c r="B41" s="11" t="str">
        <f>+'Exhibit 1'!A17</f>
        <v>Other Current Assets</v>
      </c>
      <c r="D41" s="44">
        <f>+'Exhibit 1'!X17</f>
        <v>6.2506033021486858E-3</v>
      </c>
    </row>
    <row r="42" spans="1:15">
      <c r="A42" s="30">
        <f t="shared" si="0"/>
        <v>42</v>
      </c>
      <c r="B42" s="11" t="str">
        <f>+'Exhibit 1'!A18</f>
        <v>Total Current Assets</v>
      </c>
      <c r="D42" s="44"/>
      <c r="E42" s="9"/>
      <c r="F42" s="46"/>
      <c r="G42" s="46"/>
    </row>
    <row r="43" spans="1:15">
      <c r="A43" s="30">
        <f t="shared" si="0"/>
        <v>43</v>
      </c>
      <c r="D43" s="44"/>
    </row>
    <row r="44" spans="1:15">
      <c r="A44" s="30">
        <f t="shared" si="0"/>
        <v>44</v>
      </c>
      <c r="B44" s="11" t="str">
        <f>+'Exhibit 1'!A20</f>
        <v>Plant &amp; Equipment:</v>
      </c>
      <c r="D44" s="44"/>
      <c r="E44" s="9"/>
      <c r="F44" s="21"/>
    </row>
    <row r="45" spans="1:15">
      <c r="A45" s="30">
        <f t="shared" si="0"/>
        <v>45</v>
      </c>
      <c r="B45" s="11" t="str">
        <f>+'Exhibit 1'!A21</f>
        <v>Plant in Service</v>
      </c>
      <c r="D45" s="44">
        <f>+'Exhibit 1'!J21</f>
        <v>5.5499106190626188E-3</v>
      </c>
    </row>
    <row r="46" spans="1:15">
      <c r="A46" s="30">
        <f t="shared" si="0"/>
        <v>46</v>
      </c>
      <c r="B46" s="11" t="str">
        <f>+'Exhibit 1'!A22</f>
        <v>Construction Work in Progress</v>
      </c>
      <c r="D46" s="44">
        <f>+'Exhibit 1'!X22</f>
        <v>1.2609391803709137E-2</v>
      </c>
    </row>
    <row r="47" spans="1:15">
      <c r="A47" s="30">
        <f t="shared" si="0"/>
        <v>47</v>
      </c>
      <c r="B47" s="11" t="str">
        <f>+'Exhibit 1'!A23</f>
        <v>Other PP&amp;E</v>
      </c>
      <c r="D47" s="44"/>
      <c r="J47" s="19"/>
      <c r="K47" s="19"/>
      <c r="L47" s="19"/>
      <c r="M47" s="14"/>
      <c r="N47" s="25"/>
    </row>
    <row r="48" spans="1:15">
      <c r="A48" s="30">
        <f t="shared" si="0"/>
        <v>48</v>
      </c>
      <c r="B48" s="11" t="str">
        <f>+'Exhibit 1'!A24</f>
        <v>Total Plant &amp; Equipment:</v>
      </c>
      <c r="D48" s="44">
        <f>+'Exhibit 1'!X24</f>
        <v>0.96556351711049893</v>
      </c>
      <c r="E48" s="2"/>
      <c r="F48" s="28"/>
      <c r="J48" s="15"/>
      <c r="K48" s="15"/>
      <c r="L48" s="15"/>
      <c r="M48" s="22"/>
      <c r="N48" s="22"/>
    </row>
    <row r="49" spans="1:20">
      <c r="A49" s="30">
        <f t="shared" si="0"/>
        <v>49</v>
      </c>
      <c r="D49" s="44"/>
    </row>
    <row r="50" spans="1:20">
      <c r="A50" s="30">
        <f t="shared" si="0"/>
        <v>50</v>
      </c>
      <c r="B50" s="11" t="str">
        <f>+'Exhibit 1'!A26</f>
        <v>Accumulated Depreciation &amp; Amort.</v>
      </c>
      <c r="D50" s="44">
        <f>+'Exhibit 1'!X26</f>
        <v>0.54555419072250133</v>
      </c>
      <c r="E50" s="2"/>
      <c r="F50" s="21"/>
    </row>
    <row r="51" spans="1:20" ht="12" customHeight="1">
      <c r="A51" s="30">
        <f t="shared" si="0"/>
        <v>51</v>
      </c>
      <c r="D51" s="44"/>
      <c r="E51" s="2"/>
    </row>
    <row r="52" spans="1:20">
      <c r="A52" s="30">
        <f t="shared" si="0"/>
        <v>52</v>
      </c>
      <c r="B52" s="11" t="str">
        <f>+'Exhibit 1'!A28</f>
        <v>Net Plant &amp; Equipment</v>
      </c>
      <c r="D52" s="44">
        <f>+'Exhibit 1'!X28</f>
        <v>0.42000932638799759</v>
      </c>
      <c r="E52" s="2"/>
      <c r="F52" s="13"/>
    </row>
    <row r="53" spans="1:20">
      <c r="A53" s="30">
        <f t="shared" si="0"/>
        <v>53</v>
      </c>
      <c r="D53" s="44"/>
      <c r="F53" s="17"/>
    </row>
    <row r="54" spans="1:20">
      <c r="A54" s="30">
        <f t="shared" si="0"/>
        <v>54</v>
      </c>
      <c r="B54" s="11" t="str">
        <f>+'Exhibit 1'!A30</f>
        <v>Other Assets:</v>
      </c>
      <c r="C54" s="23"/>
      <c r="D54" s="44"/>
      <c r="E54" s="9"/>
      <c r="F54" s="61"/>
      <c r="I54" s="19"/>
      <c r="J54" s="19"/>
      <c r="K54" s="19"/>
      <c r="L54" s="45"/>
      <c r="M54" s="19"/>
      <c r="N54" s="19"/>
    </row>
    <row r="55" spans="1:20">
      <c r="A55" s="30">
        <f t="shared" si="0"/>
        <v>55</v>
      </c>
      <c r="B55" s="11" t="str">
        <f>+'Exhibit 1'!A31</f>
        <v>Accumulated Deferred Income Taxes</v>
      </c>
      <c r="C55" s="23"/>
      <c r="D55" s="44">
        <f>+'Exhibit 1'!X31</f>
        <v>9.1741433686235122E-2</v>
      </c>
      <c r="F55" s="55"/>
      <c r="I55" s="15"/>
      <c r="J55" s="15"/>
      <c r="K55" s="15"/>
      <c r="L55" s="15"/>
      <c r="M55" s="15"/>
      <c r="N55" s="15"/>
      <c r="O55" s="15"/>
    </row>
    <row r="56" spans="1:20">
      <c r="A56" s="30">
        <f t="shared" si="0"/>
        <v>56</v>
      </c>
      <c r="B56" s="11" t="str">
        <f>+'Exhibit 1'!A32</f>
        <v>Investments and Other Property</v>
      </c>
      <c r="C56" s="23"/>
      <c r="D56" s="44">
        <f>+'Exhibit 1'!X32</f>
        <v>-7.0718916993195047E-2</v>
      </c>
      <c r="F56" s="27"/>
    </row>
    <row r="57" spans="1:20">
      <c r="A57" s="30">
        <f t="shared" si="0"/>
        <v>57</v>
      </c>
      <c r="B57" s="11" t="str">
        <f>+'Exhibit 1'!A33</f>
        <v>Other Deferred Debits and Other Assets</v>
      </c>
      <c r="C57" s="23"/>
      <c r="D57" s="44">
        <f>+'Exhibit 1'!X33</f>
        <v>0.24257762387248394</v>
      </c>
      <c r="F57" s="55"/>
    </row>
    <row r="58" spans="1:20">
      <c r="A58" s="30">
        <f t="shared" si="0"/>
        <v>58</v>
      </c>
      <c r="B58" s="11" t="str">
        <f>+'Exhibit 1'!A34</f>
        <v>Total Other Assets</v>
      </c>
      <c r="C58" s="23"/>
      <c r="D58" s="44">
        <f>+'Exhibit 1'!X34</f>
        <v>0.263600140565524</v>
      </c>
      <c r="E58" s="2"/>
    </row>
    <row r="59" spans="1:20">
      <c r="A59" s="30">
        <f t="shared" si="0"/>
        <v>59</v>
      </c>
      <c r="B59" s="11" t="str">
        <f>+'Exhibit 1'!A35</f>
        <v>Total Non-Current Assets</v>
      </c>
      <c r="C59" s="23"/>
      <c r="D59" s="44">
        <f>+'Exhibit 1'!X35</f>
        <v>0.73639985943447606</v>
      </c>
      <c r="F59" s="17"/>
      <c r="I59"/>
      <c r="J59"/>
      <c r="K59"/>
      <c r="L59"/>
      <c r="M59"/>
      <c r="N59"/>
      <c r="O59"/>
      <c r="P59"/>
      <c r="Q59"/>
      <c r="R59"/>
      <c r="T59" s="34"/>
    </row>
    <row r="60" spans="1:20">
      <c r="A60" s="30">
        <f t="shared" si="0"/>
        <v>60</v>
      </c>
      <c r="B60" s="11" t="str">
        <f>+'Exhibit 1'!A36</f>
        <v>Total Assets</v>
      </c>
      <c r="C60" s="23"/>
      <c r="D60" s="44">
        <f>+'Exhibit 1'!X36</f>
        <v>1</v>
      </c>
      <c r="E60" s="9"/>
      <c r="F60" s="28"/>
      <c r="I60" s="30"/>
      <c r="J60" s="30"/>
      <c r="K60" s="30"/>
      <c r="L60" s="30"/>
      <c r="M60" s="63"/>
      <c r="N60"/>
      <c r="O60"/>
      <c r="P60"/>
      <c r="Q60"/>
      <c r="R60"/>
    </row>
    <row r="61" spans="1:20">
      <c r="A61" s="30">
        <f t="shared" si="0"/>
        <v>61</v>
      </c>
      <c r="C61" s="23"/>
      <c r="D61" s="44"/>
      <c r="E61" s="2"/>
      <c r="F61" s="21"/>
      <c r="I61" s="15"/>
      <c r="J61" s="15"/>
      <c r="K61" s="15"/>
      <c r="L61" s="15"/>
      <c r="M61" s="15"/>
      <c r="N61" s="35"/>
      <c r="O61" s="35"/>
      <c r="P61" s="35"/>
      <c r="Q61" s="35"/>
      <c r="R61" s="35"/>
      <c r="S61" s="35"/>
    </row>
    <row r="62" spans="1:20">
      <c r="A62" s="30">
        <f t="shared" si="0"/>
        <v>62</v>
      </c>
      <c r="B62" s="11" t="str">
        <f>+'Exhibit 1'!A38</f>
        <v>Current Liabilities:</v>
      </c>
      <c r="C62" s="23"/>
      <c r="D62" s="44"/>
      <c r="E62" s="2"/>
      <c r="F62" s="21"/>
      <c r="K62" s="172" t="s">
        <v>186</v>
      </c>
    </row>
    <row r="63" spans="1:20">
      <c r="A63" s="30">
        <f t="shared" si="0"/>
        <v>63</v>
      </c>
      <c r="B63" s="11" t="str">
        <f>+'Exhibit 1'!A39</f>
        <v>Current Portion of LTD</v>
      </c>
      <c r="C63" s="23"/>
      <c r="D63" s="44"/>
      <c r="E63" s="2"/>
    </row>
    <row r="64" spans="1:20">
      <c r="A64" s="30">
        <f t="shared" si="0"/>
        <v>64</v>
      </c>
      <c r="B64" s="11" t="str">
        <f>+'Exhibit 1'!A40</f>
        <v>Acounts Payable</v>
      </c>
      <c r="C64" s="23"/>
      <c r="D64" s="44">
        <f>+'Exhibit 1'!S40</f>
        <v>4.2651523472469068E-2</v>
      </c>
      <c r="E64" s="162">
        <f>+'Exhibit 1'!C40/'Exhibit 1'!C69</f>
        <v>4.4096373330010687E-2</v>
      </c>
      <c r="F64" s="162">
        <f>+'Exhibit 1'!D40/'Exhibit 1'!D69</f>
        <v>7.5161826926982811E-2</v>
      </c>
      <c r="G64" s="162">
        <f>+'Exhibit 1'!E40/'Exhibit 1'!E69</f>
        <v>4.8882617518819754E-2</v>
      </c>
      <c r="H64" s="162">
        <f>+'Exhibit 1'!F40/'Exhibit 1'!F69</f>
        <v>4.5758153876089565E-2</v>
      </c>
      <c r="I64" s="162">
        <f>+'Exhibit 1'!G40/'Exhibit 1'!G69</f>
        <v>5.4908767376041688E-2</v>
      </c>
      <c r="J64" s="162">
        <f>+'Exhibit 1'!H40/'Exhibit 1'!H69</f>
        <v>8.615661610092791E-2</v>
      </c>
      <c r="K64" s="162">
        <f>AVERAGE(F64:J64)</f>
        <v>6.2173596359772342E-2</v>
      </c>
      <c r="L64" s="162"/>
    </row>
    <row r="65" spans="1:18">
      <c r="A65" s="30">
        <f t="shared" si="0"/>
        <v>65</v>
      </c>
      <c r="B65" s="11" t="str">
        <f>+'Exhibit 1'!A41</f>
        <v>Customer Deposits</v>
      </c>
      <c r="C65" s="23"/>
      <c r="D65" s="44"/>
      <c r="K65" s="162"/>
    </row>
    <row r="66" spans="1:18">
      <c r="A66" s="30">
        <f t="shared" si="0"/>
        <v>66</v>
      </c>
      <c r="B66" s="11" t="str">
        <f>+'Exhibit 1'!A42</f>
        <v xml:space="preserve">Other </v>
      </c>
      <c r="C66" s="23"/>
      <c r="D66" s="44">
        <f>+'Exhibit 1'!X42</f>
        <v>3.009192820554011E-2</v>
      </c>
      <c r="E66" s="17"/>
    </row>
    <row r="67" spans="1:18">
      <c r="A67" s="30">
        <f t="shared" si="0"/>
        <v>67</v>
      </c>
      <c r="B67" s="11" t="str">
        <f>+'Exhibit 1'!A43</f>
        <v>Total Current Liabilities</v>
      </c>
      <c r="C67" s="23"/>
      <c r="D67" s="44">
        <f>+'Exhibit 1'!X43</f>
        <v>7.6538725382168327E-2</v>
      </c>
    </row>
    <row r="68" spans="1:18">
      <c r="A68" s="30">
        <f t="shared" si="0"/>
        <v>68</v>
      </c>
      <c r="C68" s="23"/>
      <c r="D68" s="44"/>
      <c r="E68" s="9"/>
    </row>
    <row r="69" spans="1:18">
      <c r="A69" s="30">
        <f t="shared" si="0"/>
        <v>69</v>
      </c>
      <c r="B69" s="11" t="str">
        <f>+'Exhibit 1'!A45</f>
        <v>Long-Term Debt</v>
      </c>
      <c r="D69" s="44"/>
    </row>
    <row r="70" spans="1:18">
      <c r="A70" s="30">
        <f>A69+1</f>
        <v>70</v>
      </c>
      <c r="B70" s="11" t="str">
        <f>+'Exhibit 1'!A46</f>
        <v>Deferred Income Taxes</v>
      </c>
      <c r="C70" s="23"/>
      <c r="D70" s="44">
        <f>+'Exhibit 1'!X46</f>
        <v>0.10939806480116698</v>
      </c>
      <c r="E70" s="2"/>
    </row>
    <row r="71" spans="1:18">
      <c r="A71" s="30">
        <f>A70+1</f>
        <v>71</v>
      </c>
      <c r="B71" s="11" t="str">
        <f>+'Exhibit 1'!A47</f>
        <v>Other Deferred Credits</v>
      </c>
      <c r="C71" s="23"/>
      <c r="D71" s="44">
        <f>+'Exhibit 1'!X47</f>
        <v>3.3471606093646491E-3</v>
      </c>
      <c r="E71" s="54"/>
    </row>
    <row r="72" spans="1:18" s="59" customFormat="1">
      <c r="A72" s="30">
        <f>A71+1</f>
        <v>72</v>
      </c>
      <c r="B72" s="11" t="str">
        <f>+'Exhibit 1'!A48</f>
        <v>Total LTD &amp; Deferrals</v>
      </c>
      <c r="C72" s="60"/>
      <c r="D72" s="4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8">
      <c r="A73" s="30">
        <f>A72+1</f>
        <v>73</v>
      </c>
      <c r="D73" s="44"/>
      <c r="E73" s="15"/>
    </row>
    <row r="74" spans="1:18">
      <c r="A74" s="30">
        <f>A73+1</f>
        <v>74</v>
      </c>
      <c r="B74" s="11" t="str">
        <f>+'Exhibit 1'!A50</f>
        <v>Total Liabilities</v>
      </c>
      <c r="D74" s="44"/>
      <c r="E74" s="15"/>
    </row>
    <row r="75" spans="1:18">
      <c r="D75" s="15"/>
      <c r="E75" s="15"/>
    </row>
    <row r="76" spans="1:18">
      <c r="D76" s="15"/>
      <c r="E76" s="15"/>
    </row>
    <row r="77" spans="1:18">
      <c r="D77" s="15"/>
      <c r="E77" s="15"/>
    </row>
    <row r="78" spans="1:18">
      <c r="D78" s="15"/>
      <c r="E78" s="15"/>
    </row>
    <row r="79" spans="1:18">
      <c r="D79" s="15"/>
      <c r="E79" s="15"/>
    </row>
    <row r="80" spans="1:18">
      <c r="D80" s="15"/>
      <c r="E80" s="15"/>
    </row>
    <row r="81" spans="2:5">
      <c r="D81" s="15"/>
      <c r="E81" s="15"/>
    </row>
    <row r="82" spans="2:5">
      <c r="D82" s="15"/>
      <c r="E82" s="15"/>
    </row>
    <row r="83" spans="2:5">
      <c r="D83" s="15"/>
      <c r="E83" s="15"/>
    </row>
    <row r="84" spans="2:5">
      <c r="D84" s="15"/>
      <c r="E84" s="15"/>
    </row>
    <row r="85" spans="2:5">
      <c r="D85" s="15"/>
      <c r="E85" s="15"/>
    </row>
    <row r="86" spans="2:5">
      <c r="D86" s="15"/>
      <c r="E86" s="15"/>
    </row>
    <row r="87" spans="2:5">
      <c r="D87" s="15"/>
      <c r="E87" s="15"/>
    </row>
    <row r="88" spans="2:5">
      <c r="D88" s="15"/>
      <c r="E88" s="15"/>
    </row>
    <row r="89" spans="2:5">
      <c r="D89" s="15"/>
      <c r="E89" s="15"/>
    </row>
    <row r="90" spans="2:5">
      <c r="D90" s="15"/>
      <c r="E90" s="15"/>
    </row>
    <row r="91" spans="2:5">
      <c r="D91" s="15"/>
      <c r="E91" s="15"/>
    </row>
    <row r="92" spans="2:5">
      <c r="D92" s="15"/>
      <c r="E92" s="15"/>
    </row>
    <row r="93" spans="2:5">
      <c r="C93" s="15"/>
      <c r="D93" s="15"/>
    </row>
    <row r="96" spans="2:5">
      <c r="B96" s="15"/>
      <c r="C96" s="15"/>
      <c r="D96" s="15"/>
    </row>
    <row r="97" spans="2:4">
      <c r="B97" s="15"/>
      <c r="C97" s="15"/>
      <c r="D97" s="15"/>
    </row>
    <row r="98" spans="2:4">
      <c r="B98" s="15"/>
      <c r="C98" s="15"/>
      <c r="D98" s="15"/>
    </row>
    <row r="99" spans="2:4">
      <c r="B99" s="15"/>
      <c r="C99" s="15"/>
      <c r="D99" s="15"/>
    </row>
    <row r="100" spans="2:4">
      <c r="B100" s="15"/>
      <c r="C100" s="15"/>
      <c r="D100" s="15"/>
    </row>
    <row r="101" spans="2:4">
      <c r="B101" s="15"/>
      <c r="C101" s="15"/>
      <c r="D101" s="15"/>
    </row>
    <row r="102" spans="2:4">
      <c r="B102" s="15"/>
      <c r="C102" s="15"/>
      <c r="D102" s="15"/>
    </row>
    <row r="103" spans="2:4">
      <c r="B103" s="15"/>
      <c r="C103" s="15"/>
      <c r="D103" s="15"/>
    </row>
    <row r="104" spans="2:4">
      <c r="B104" s="15"/>
      <c r="C104" s="15"/>
      <c r="D104" s="15"/>
    </row>
    <row r="105" spans="2:4">
      <c r="B105" s="15"/>
      <c r="C105" s="15"/>
      <c r="D105" s="15"/>
    </row>
    <row r="106" spans="2:4">
      <c r="B106" s="15"/>
      <c r="C106" s="15"/>
      <c r="D106" s="15"/>
    </row>
    <row r="107" spans="2:4">
      <c r="B107" s="15"/>
      <c r="C107" s="15"/>
      <c r="D107" s="15"/>
    </row>
    <row r="108" spans="2:4">
      <c r="B108" s="15"/>
      <c r="C108" s="15"/>
      <c r="D108" s="15"/>
    </row>
    <row r="109" spans="2:4">
      <c r="B109" s="15"/>
      <c r="C109" s="15"/>
      <c r="D109" s="15"/>
    </row>
    <row r="110" spans="2:4">
      <c r="B110" s="15"/>
      <c r="C110" s="15"/>
      <c r="D110" s="15"/>
    </row>
    <row r="111" spans="2:4">
      <c r="B111" s="15"/>
      <c r="C111" s="15"/>
      <c r="D111" s="15"/>
    </row>
    <row r="112" spans="2:4">
      <c r="B112" s="15"/>
      <c r="C112" s="15"/>
      <c r="D112" s="15"/>
    </row>
    <row r="113" spans="2:4">
      <c r="B113" s="15"/>
      <c r="C113" s="15"/>
      <c r="D113" s="15"/>
    </row>
    <row r="114" spans="2:4">
      <c r="B114" s="15"/>
      <c r="C114" s="15"/>
      <c r="D114" s="15"/>
    </row>
    <row r="115" spans="2:4">
      <c r="B115" s="15"/>
      <c r="C115" s="15"/>
      <c r="D115" s="15"/>
    </row>
    <row r="116" spans="2:4">
      <c r="B116" s="15"/>
      <c r="C116" s="15"/>
      <c r="D116" s="15"/>
    </row>
    <row r="117" spans="2:4">
      <c r="B117" s="15"/>
      <c r="C117" s="15"/>
      <c r="D117" s="15"/>
    </row>
    <row r="118" spans="2:4">
      <c r="B118" s="15"/>
      <c r="C118" s="15"/>
      <c r="D118" s="15"/>
    </row>
    <row r="136" spans="6:6">
      <c r="F136" s="17"/>
    </row>
    <row r="137" spans="6:6">
      <c r="F137" s="17"/>
    </row>
    <row r="138" spans="6:6">
      <c r="F138" s="17"/>
    </row>
    <row r="139" spans="6:6">
      <c r="F139" s="17"/>
    </row>
    <row r="179" spans="6:6">
      <c r="F179" s="17"/>
    </row>
    <row r="180" spans="6:6">
      <c r="F180" s="17"/>
    </row>
    <row r="181" spans="6:6">
      <c r="F181" s="17"/>
    </row>
    <row r="182" spans="6:6">
      <c r="F182" s="17"/>
    </row>
  </sheetData>
  <phoneticPr fontId="4" type="noConversion"/>
  <pageMargins left="0.46" right="0.28000000000000003" top="0.53" bottom="0.53" header="0.5" footer="0.5"/>
  <pageSetup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Exhibit 1</vt:lpstr>
      <vt:lpstr>Exhibit 1 page 3</vt:lpstr>
      <vt:lpstr>Exhibit 2</vt:lpstr>
      <vt:lpstr>Assumptions</vt:lpstr>
      <vt:lpstr>Assumptions!Print_Area</vt:lpstr>
      <vt:lpstr>'Exhibit 1'!Print_Area</vt:lpstr>
      <vt:lpstr>'Exhibit 1 page 3'!Print_Area</vt:lpstr>
      <vt:lpstr>'Exhibit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Robyn Paschal</dc:creator>
  <cp:lastModifiedBy>MPaschal</cp:lastModifiedBy>
  <cp:lastPrinted>2011-09-12T22:55:32Z</cp:lastPrinted>
  <dcterms:created xsi:type="dcterms:W3CDTF">2005-09-19T14:11:29Z</dcterms:created>
  <dcterms:modified xsi:type="dcterms:W3CDTF">2011-09-19T15:26:31Z</dcterms:modified>
</cp:coreProperties>
</file>