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8975" windowHeight="10575"/>
  </bookViews>
  <sheets>
    <sheet name="Exhibit 1" sheetId="1" r:id="rId1"/>
  </sheets>
  <definedNames>
    <definedName name="_Order1" hidden="1">255</definedName>
    <definedName name="_Order2" hidden="1">0</definedName>
    <definedName name="junk" localSheetId="0" hidden="1">{"PRINT",#N/A,TRUE,"APPA";"PRINT",#N/A,TRUE,"APS";"PRINT",#N/A,TRUE,"BHPL";"PRINT",#N/A,TRUE,"BHPL2";"PRINT",#N/A,TRUE,"CDWR";"PRINT",#N/A,TRUE,"EWEB";"PRINT",#N/A,TRUE,"LADWP";"PRINT",#N/A,TRUE,"NEVBASE"}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2" localSheetId="0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localSheetId="0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localSheetId="0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Keep" localSheetId="0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localSheetId="0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_xlnm.Print_Titles" localSheetId="0">'Exhibit 1'!$1:$7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APBEXrevision" hidden="1">1</definedName>
    <definedName name="SAPBEXsysID" hidden="1">"BWP"</definedName>
    <definedName name="SAPBEXwbID" hidden="1">"44KU92Q9LH2VK4DK86GZ93AXN"</definedName>
    <definedName name="shit" localSheetId="0" hidden="1">{"PRINT",#N/A,TRUE,"APPA";"PRINT",#N/A,TRUE,"APS";"PRINT",#N/A,TRUE,"BHPL";"PRINT",#N/A,TRUE,"BHPL2";"PRINT",#N/A,TRUE,"CDWR";"PRINT",#N/A,TRUE,"EWEB";"PRINT",#N/A,TRUE,"LADWP";"PRINT",#N/A,TRUE,"NEVBASE"}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All._.Pages." hidden="1">{#N/A,#N/A,FALSE,"cover";#N/A,#N/A,FALSE,"lead sheet";#N/A,#N/A,FALSE,"Adj backup";#N/A,#N/A,FALSE,"t Accounts"}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SALES._.VAR._.95._.BUDGET." localSheetId="0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</definedNames>
  <calcPr calcId="125725"/>
</workbook>
</file>

<file path=xl/calcChain.xml><?xml version="1.0" encoding="utf-8"?>
<calcChain xmlns="http://schemas.openxmlformats.org/spreadsheetml/2006/main">
  <c r="J54" i="1"/>
  <c r="J52"/>
  <c r="H35"/>
  <c r="G35"/>
  <c r="F35"/>
  <c r="J34"/>
  <c r="J33"/>
  <c r="J35" s="1"/>
  <c r="B27"/>
  <c r="B41" s="1"/>
  <c r="H24"/>
  <c r="G24"/>
  <c r="F24"/>
  <c r="J22"/>
  <c r="H20"/>
  <c r="G20"/>
  <c r="F20"/>
  <c r="J18"/>
  <c r="F41"/>
  <c r="F12"/>
  <c r="F14" s="1"/>
  <c r="F16" s="1"/>
  <c r="G6"/>
  <c r="F26" l="1"/>
  <c r="J20"/>
  <c r="J24"/>
  <c r="H6"/>
  <c r="F27"/>
  <c r="A10"/>
  <c r="G12"/>
  <c r="G14" s="1"/>
  <c r="G16" s="1"/>
  <c r="G26" s="1"/>
  <c r="G27" l="1"/>
  <c r="G41"/>
  <c r="F28"/>
  <c r="F40" s="1"/>
  <c r="F42" s="1"/>
  <c r="A11"/>
  <c r="J11"/>
  <c r="J45"/>
  <c r="H12"/>
  <c r="H14" s="1"/>
  <c r="H16" s="1"/>
  <c r="H26" s="1"/>
  <c r="G28"/>
  <c r="G40" s="1"/>
  <c r="G42" s="1"/>
  <c r="G44" s="1"/>
  <c r="G46" s="1"/>
  <c r="G53" s="1"/>
  <c r="J16"/>
  <c r="H41" l="1"/>
  <c r="H27"/>
  <c r="J27" s="1"/>
  <c r="J15"/>
  <c r="F44"/>
  <c r="J10"/>
  <c r="J12" s="1"/>
  <c r="J14" s="1"/>
  <c r="A12"/>
  <c r="A13"/>
  <c r="H28"/>
  <c r="H40" s="1"/>
  <c r="H42" s="1"/>
  <c r="H44" s="1"/>
  <c r="H46" s="1"/>
  <c r="H53" s="1"/>
  <c r="D12"/>
  <c r="J26"/>
  <c r="J28" s="1"/>
  <c r="J40" s="1"/>
  <c r="J41"/>
  <c r="F46" l="1"/>
  <c r="F53" s="1"/>
  <c r="J44"/>
  <c r="J46" s="1"/>
  <c r="A14"/>
  <c r="A15" s="1"/>
  <c r="D14"/>
  <c r="J42"/>
  <c r="D16" l="1"/>
  <c r="D27"/>
  <c r="D41"/>
  <c r="J53"/>
  <c r="F56"/>
  <c r="G52" s="1"/>
  <c r="F55"/>
  <c r="A16"/>
  <c r="G55" l="1"/>
  <c r="G56"/>
  <c r="H52" s="1"/>
  <c r="A18"/>
  <c r="A19" s="1"/>
  <c r="A20" s="1"/>
  <c r="A22" s="1"/>
  <c r="A23" l="1"/>
  <c r="A24" s="1"/>
  <c r="D26" s="1"/>
  <c r="D20"/>
  <c r="H55"/>
  <c r="J55" s="1"/>
  <c r="J56" s="1"/>
  <c r="H56"/>
  <c r="A26" l="1"/>
  <c r="A27" s="1"/>
  <c r="A28" s="1"/>
  <c r="J62"/>
  <c r="J58"/>
  <c r="D24"/>
  <c r="A33" l="1"/>
  <c r="D28"/>
  <c r="A34" l="1"/>
  <c r="A35" s="1"/>
  <c r="D35" l="1"/>
  <c r="A40"/>
  <c r="D40"/>
  <c r="A41" l="1"/>
  <c r="A42" s="1"/>
  <c r="D42" l="1"/>
  <c r="D44"/>
  <c r="A44"/>
  <c r="A45" l="1"/>
  <c r="A46" s="1"/>
  <c r="D46" l="1"/>
  <c r="D53"/>
  <c r="A51"/>
  <c r="A52" l="1"/>
  <c r="A53" l="1"/>
  <c r="A54" s="1"/>
  <c r="A55" s="1"/>
  <c r="A56" s="1"/>
  <c r="D58" l="1"/>
  <c r="D52"/>
  <c r="A58"/>
  <c r="D55"/>
  <c r="D56"/>
  <c r="A60" l="1"/>
  <c r="D62" s="1"/>
  <c r="A62"/>
</calcChain>
</file>

<file path=xl/sharedStrings.xml><?xml version="1.0" encoding="utf-8"?>
<sst xmlns="http://schemas.openxmlformats.org/spreadsheetml/2006/main" count="58" uniqueCount="53">
  <si>
    <t>Line No.</t>
  </si>
  <si>
    <t>Reference</t>
  </si>
  <si>
    <t>Total</t>
  </si>
  <si>
    <t>Actual</t>
  </si>
  <si>
    <t>Actual Adj. NPC (Total Company)</t>
  </si>
  <si>
    <t>(3.3)</t>
  </si>
  <si>
    <t>System Load (Total Company MWh)</t>
  </si>
  <si>
    <t>(6.1)</t>
  </si>
  <si>
    <t>Actual $/MWH (Total Company)</t>
  </si>
  <si>
    <t>Utah Allocation Scalar</t>
  </si>
  <si>
    <t>Settlement Stipulation</t>
  </si>
  <si>
    <t>Utah Actual $/MWh Before Wheeling Revenue</t>
  </si>
  <si>
    <t>Utah Jurisdictional Load (MWh)</t>
  </si>
  <si>
    <t>Utah Actual NPC Before Wheeling Revenue</t>
  </si>
  <si>
    <t>Actual Firm Wheeling Revenues (Total Company)</t>
  </si>
  <si>
    <t>(5.1)</t>
  </si>
  <si>
    <t>SG Factor</t>
  </si>
  <si>
    <t>Utah Actual Firm Wheeling Revenues</t>
  </si>
  <si>
    <t>Actual Non-Firm Wheeling Revenues (Total Company)</t>
  </si>
  <si>
    <t>SE Factor</t>
  </si>
  <si>
    <t>Utah Actual Non-Firm Wheeling Revenues</t>
  </si>
  <si>
    <t>Actual EBA Deferral Rate $/MWh</t>
  </si>
  <si>
    <t>Base</t>
  </si>
  <si>
    <t>Utah EBA Base</t>
  </si>
  <si>
    <t>Exhibit B, Column (m)
Stipulation 10-035-124</t>
  </si>
  <si>
    <t>Utah Base Load</t>
  </si>
  <si>
    <t>Exhibit B, Column (n)
Stipulation 10-035-124</t>
  </si>
  <si>
    <t>Base EBA Deferral Rate $/MWh</t>
  </si>
  <si>
    <t>Deferral</t>
  </si>
  <si>
    <t>$/ MWH Differential</t>
  </si>
  <si>
    <t>Total Deferrable</t>
  </si>
  <si>
    <t>Incremental EBA Deferral at 70% Sharing</t>
  </si>
  <si>
    <t>Additional FERC ER11-3643 Revenues</t>
  </si>
  <si>
    <t xml:space="preserve">Incremental Deferral </t>
  </si>
  <si>
    <t>Energy Balancing Account</t>
  </si>
  <si>
    <t>Monthly Interest Rate</t>
  </si>
  <si>
    <t>Note 1</t>
  </si>
  <si>
    <t>Beginning EBA Balance</t>
  </si>
  <si>
    <t>Incremental EBA Deferral</t>
  </si>
  <si>
    <t>EBA Revenues</t>
  </si>
  <si>
    <t>Interest</t>
  </si>
  <si>
    <t>Ending EBA Balance</t>
  </si>
  <si>
    <t>Accrued Interest through June 1, 2012</t>
  </si>
  <si>
    <t>Stipulated Deferred Net Power Costs Amortization</t>
  </si>
  <si>
    <t>Note 2</t>
  </si>
  <si>
    <t>Requested EBA Recovery</t>
  </si>
  <si>
    <t xml:space="preserve">Note: </t>
  </si>
  <si>
    <t>Docket No. 09-035-15, March 2, 2011 Report and Order, Page 79</t>
  </si>
  <si>
    <t>Docket No. 10-035-124,  et al.,  September 13, 2011  Report and Order, Page 29</t>
  </si>
  <si>
    <t>Utah Energy Balancing Account Mechanism</t>
  </si>
  <si>
    <t>October 1, 2011 - December 31, 2011</t>
  </si>
  <si>
    <t>Exhibit 1 - Stipulated Scalar Energy Balancing Account Calculation</t>
  </si>
  <si>
    <t>UT Actual EBA Costs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</si>
</sst>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* #,##0.00_);_(* \(#,##0.00\);_(* &quot;-&quot;_);_(@_)"/>
    <numFmt numFmtId="166" formatCode="0.0000%"/>
    <numFmt numFmtId="167" formatCode="_(* #,##0.0000_);_(* \(#,##0.0000\);_(* &quot;-&quot;_);_(@_)"/>
    <numFmt numFmtId="168" formatCode="_(&quot;$&quot;\ #,##0.00_);_(&quot;$&quot;\ \(#,##0.00\);_(&quot;$&quot;\ &quot;-&quot;??_);_(@_)"/>
    <numFmt numFmtId="169" formatCode="_(* #,##0.00_);[Red]_(* \(#,##0.00\);_(* &quot;-&quot;??_);_(@_)"/>
    <numFmt numFmtId="170" formatCode="&quot;$&quot;###0;[Red]\(&quot;$&quot;###0\)"/>
    <numFmt numFmtId="171" formatCode="0.0"/>
    <numFmt numFmtId="172" formatCode="_(* #,##0_);[Red]_(* \(#,##0\);_(* &quot;-&quot;_);_(@_)"/>
  </numFmts>
  <fonts count="19">
    <font>
      <sz val="10"/>
      <name val="Arial"/>
      <family val="2"/>
    </font>
    <font>
      <sz val="8"/>
      <color theme="1"/>
      <name val="Courier Ne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Helv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76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0" fontId="7" fillId="0" borderId="0" applyFont="0" applyFill="0" applyBorder="0" applyProtection="0">
      <alignment horizontal="right"/>
    </xf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171" fontId="5" fillId="0" borderId="0" applyNumberFormat="0" applyFill="0" applyBorder="0" applyAlignment="0" applyProtection="0"/>
    <xf numFmtId="0" fontId="4" fillId="0" borderId="4" applyNumberFormat="0" applyBorder="0" applyAlignment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" fillId="0" borderId="0"/>
    <xf numFmtId="0" fontId="1" fillId="0" borderId="0"/>
    <xf numFmtId="172" fontId="2" fillId="0" borderId="0"/>
    <xf numFmtId="41" fontId="2" fillId="0" borderId="0"/>
    <xf numFmtId="0" fontId="2" fillId="0" borderId="0"/>
    <xf numFmtId="172" fontId="2" fillId="0" borderId="0"/>
    <xf numFmtId="0" fontId="2" fillId="0" borderId="0"/>
    <xf numFmtId="0" fontId="8" fillId="0" borderId="0"/>
    <xf numFmtId="0" fontId="2" fillId="0" borderId="0"/>
    <xf numFmtId="0" fontId="1" fillId="0" borderId="0"/>
    <xf numFmtId="12" fontId="9" fillId="2" borderId="5">
      <alignment horizontal="left"/>
    </xf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10" fillId="3" borderId="6" applyNumberFormat="0" applyProtection="0">
      <alignment vertical="center"/>
    </xf>
    <xf numFmtId="4" fontId="11" fillId="4" borderId="6" applyNumberFormat="0" applyProtection="0">
      <alignment vertical="center"/>
    </xf>
    <xf numFmtId="4" fontId="10" fillId="4" borderId="6" applyNumberFormat="0" applyProtection="0">
      <alignment vertical="center"/>
    </xf>
    <xf numFmtId="0" fontId="10" fillId="4" borderId="6" applyNumberFormat="0" applyProtection="0">
      <alignment horizontal="left" vertical="top" indent="1"/>
    </xf>
    <xf numFmtId="4" fontId="10" fillId="5" borderId="7" applyNumberFormat="0" applyProtection="0">
      <alignment vertical="center"/>
    </xf>
    <xf numFmtId="4" fontId="8" fillId="6" borderId="6" applyNumberFormat="0" applyProtection="0">
      <alignment horizontal="right" vertical="center"/>
    </xf>
    <xf numFmtId="4" fontId="8" fillId="7" borderId="6" applyNumberFormat="0" applyProtection="0">
      <alignment horizontal="right" vertical="center"/>
    </xf>
    <xf numFmtId="4" fontId="8" fillId="8" borderId="6" applyNumberFormat="0" applyProtection="0">
      <alignment horizontal="right" vertical="center"/>
    </xf>
    <xf numFmtId="4" fontId="8" fillId="9" borderId="6" applyNumberFormat="0" applyProtection="0">
      <alignment horizontal="right" vertical="center"/>
    </xf>
    <xf numFmtId="4" fontId="8" fillId="10" borderId="6" applyNumberFormat="0" applyProtection="0">
      <alignment horizontal="right" vertical="center"/>
    </xf>
    <xf numFmtId="4" fontId="8" fillId="11" borderId="6" applyNumberFormat="0" applyProtection="0">
      <alignment horizontal="right" vertical="center"/>
    </xf>
    <xf numFmtId="4" fontId="8" fillId="12" borderId="6" applyNumberFormat="0" applyProtection="0">
      <alignment horizontal="right" vertical="center"/>
    </xf>
    <xf numFmtId="4" fontId="8" fillId="13" borderId="6" applyNumberFormat="0" applyProtection="0">
      <alignment horizontal="right" vertical="center"/>
    </xf>
    <xf numFmtId="4" fontId="8" fillId="14" borderId="6" applyNumberFormat="0" applyProtection="0">
      <alignment horizontal="right" vertical="center"/>
    </xf>
    <xf numFmtId="4" fontId="10" fillId="15" borderId="8" applyNumberFormat="0" applyProtection="0">
      <alignment horizontal="left" vertical="center" indent="1"/>
    </xf>
    <xf numFmtId="4" fontId="8" fillId="16" borderId="0" applyNumberFormat="0" applyProtection="0">
      <alignment horizontal="left" vertical="center" indent="1"/>
    </xf>
    <xf numFmtId="4" fontId="12" fillId="17" borderId="0" applyNumberFormat="0" applyProtection="0">
      <alignment horizontal="left" vertical="center" indent="1"/>
    </xf>
    <xf numFmtId="4" fontId="8" fillId="18" borderId="6" applyNumberFormat="0" applyProtection="0">
      <alignment horizontal="right" vertical="center"/>
    </xf>
    <xf numFmtId="4" fontId="13" fillId="0" borderId="0" applyNumberFormat="0" applyProtection="0">
      <alignment horizontal="left" vertical="center" indent="1"/>
    </xf>
    <xf numFmtId="4" fontId="14" fillId="0" borderId="0" applyNumberFormat="0" applyProtection="0">
      <alignment horizontal="left" vertical="center" indent="1"/>
    </xf>
    <xf numFmtId="0" fontId="2" fillId="17" borderId="6" applyNumberFormat="0" applyProtection="0">
      <alignment horizontal="left" vertical="center" indent="1"/>
    </xf>
    <xf numFmtId="0" fontId="2" fillId="17" borderId="6" applyNumberFormat="0" applyProtection="0">
      <alignment horizontal="left" vertical="top" indent="1"/>
    </xf>
    <xf numFmtId="0" fontId="2" fillId="5" borderId="6" applyNumberFormat="0" applyProtection="0">
      <alignment horizontal="left" vertical="center" indent="1"/>
    </xf>
    <xf numFmtId="0" fontId="2" fillId="5" borderId="6" applyNumberFormat="0" applyProtection="0">
      <alignment horizontal="left" vertical="top" indent="1"/>
    </xf>
    <xf numFmtId="0" fontId="2" fillId="19" borderId="6" applyNumberFormat="0" applyProtection="0">
      <alignment horizontal="left" vertical="center" indent="1"/>
    </xf>
    <xf numFmtId="0" fontId="2" fillId="19" borderId="6" applyNumberFormat="0" applyProtection="0">
      <alignment horizontal="left" vertical="top" indent="1"/>
    </xf>
    <xf numFmtId="0" fontId="2" fillId="20" borderId="6" applyNumberFormat="0" applyProtection="0">
      <alignment horizontal="left" vertical="center" indent="1"/>
    </xf>
    <xf numFmtId="0" fontId="2" fillId="20" borderId="6" applyNumberFormat="0" applyProtection="0">
      <alignment horizontal="left" vertical="top" indent="1"/>
    </xf>
    <xf numFmtId="4" fontId="8" fillId="21" borderId="6" applyNumberFormat="0" applyProtection="0">
      <alignment vertical="center"/>
    </xf>
    <xf numFmtId="4" fontId="15" fillId="21" borderId="6" applyNumberFormat="0" applyProtection="0">
      <alignment vertical="center"/>
    </xf>
    <xf numFmtId="4" fontId="8" fillId="21" borderId="6" applyNumberFormat="0" applyProtection="0">
      <alignment horizontal="left" vertical="center" indent="1"/>
    </xf>
    <xf numFmtId="0" fontId="8" fillId="21" borderId="6" applyNumberFormat="0" applyProtection="0">
      <alignment horizontal="left" vertical="top" indent="1"/>
    </xf>
    <xf numFmtId="4" fontId="8" fillId="22" borderId="9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8" fillId="18" borderId="6" applyNumberFormat="0" applyProtection="0">
      <alignment horizontal="left" vertical="center" indent="1"/>
    </xf>
    <xf numFmtId="0" fontId="8" fillId="5" borderId="6" applyNumberFormat="0" applyProtection="0">
      <alignment horizontal="center" vertical="top"/>
    </xf>
    <xf numFmtId="4" fontId="16" fillId="0" borderId="0" applyNumberFormat="0" applyProtection="0">
      <alignment horizontal="left" vertical="center"/>
    </xf>
    <xf numFmtId="4" fontId="17" fillId="16" borderId="6" applyNumberFormat="0" applyProtection="0">
      <alignment horizontal="right" vertical="center"/>
    </xf>
    <xf numFmtId="37" fontId="4" fillId="4" borderId="0" applyNumberFormat="0" applyBorder="0" applyAlignment="0" applyProtection="0"/>
    <xf numFmtId="37" fontId="4" fillId="0" borderId="0"/>
    <xf numFmtId="3" fontId="18" fillId="23" borderId="10" applyProtection="0"/>
  </cellStyleXfs>
  <cellXfs count="65">
    <xf numFmtId="0" fontId="0" fillId="0" borderId="0" xfId="0"/>
    <xf numFmtId="0" fontId="3" fillId="0" borderId="0" xfId="0" applyFont="1"/>
    <xf numFmtId="0" fontId="0" fillId="0" borderId="0" xfId="0" applyFont="1" applyFill="1" applyAlignment="1">
      <alignment horizontal="left"/>
    </xf>
    <xf numFmtId="0" fontId="0" fillId="0" borderId="0" xfId="0" applyFont="1" applyFill="1"/>
    <xf numFmtId="0" fontId="0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0" fillId="0" borderId="0" xfId="0" applyFont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center" wrapText="1"/>
    </xf>
    <xf numFmtId="38" fontId="4" fillId="0" borderId="0" xfId="0" applyNumberFormat="1" applyFont="1" applyFill="1"/>
    <xf numFmtId="0" fontId="5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center" wrapText="1"/>
    </xf>
    <xf numFmtId="164" fontId="3" fillId="0" borderId="1" xfId="0" applyNumberFormat="1" applyFont="1" applyFill="1" applyBorder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 wrapText="1"/>
    </xf>
    <xf numFmtId="41" fontId="3" fillId="0" borderId="0" xfId="0" applyNumberFormat="1" applyFont="1" applyFill="1" applyAlignment="1">
      <alignment horizontal="center" vertical="center"/>
    </xf>
    <xf numFmtId="0" fontId="0" fillId="0" borderId="0" xfId="0" quotePrefix="1" applyFont="1" applyFill="1" applyAlignment="1">
      <alignment horizontal="center" vertical="center" wrapText="1"/>
    </xf>
    <xf numFmtId="41" fontId="0" fillId="0" borderId="0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1" xfId="0" applyNumberFormat="1" applyFont="1" applyFill="1" applyBorder="1" applyAlignment="1">
      <alignment horizontal="center" vertical="center"/>
    </xf>
    <xf numFmtId="41" fontId="0" fillId="0" borderId="1" xfId="0" applyNumberFormat="1" applyFont="1" applyFill="1" applyBorder="1" applyAlignment="1">
      <alignment horizontal="right" vertical="center"/>
    </xf>
    <xf numFmtId="165" fontId="0" fillId="0" borderId="0" xfId="0" applyNumberFormat="1" applyFont="1" applyFill="1" applyAlignment="1">
      <alignment horizontal="center" vertical="center"/>
    </xf>
    <xf numFmtId="166" fontId="0" fillId="0" borderId="1" xfId="2" applyNumberFormat="1" applyFont="1" applyFill="1" applyBorder="1" applyAlignment="1">
      <alignment horizontal="center" vertical="center"/>
    </xf>
    <xf numFmtId="166" fontId="4" fillId="0" borderId="0" xfId="2" applyNumberFormat="1" applyFont="1" applyFill="1"/>
    <xf numFmtId="41" fontId="0" fillId="0" borderId="0" xfId="0" applyNumberFormat="1" applyFont="1" applyFill="1" applyAlignment="1">
      <alignment horizontal="center" vertical="center"/>
    </xf>
    <xf numFmtId="167" fontId="0" fillId="0" borderId="1" xfId="0" applyNumberFormat="1" applyFont="1" applyFill="1" applyBorder="1" applyAlignment="1">
      <alignment horizontal="center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165" fontId="0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168" fontId="2" fillId="0" borderId="0" xfId="1" applyNumberFormat="1" applyFont="1" applyFill="1" applyAlignment="1">
      <alignment horizontal="center" vertical="center"/>
    </xf>
    <xf numFmtId="41" fontId="3" fillId="0" borderId="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38" fontId="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10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/>
    </xf>
    <xf numFmtId="38" fontId="0" fillId="0" borderId="0" xfId="0" applyNumberFormat="1" applyFont="1" applyFill="1" applyAlignment="1">
      <alignment horizontal="center"/>
    </xf>
    <xf numFmtId="38" fontId="0" fillId="0" borderId="0" xfId="0" applyNumberFormat="1" applyFont="1" applyFill="1"/>
    <xf numFmtId="0" fontId="3" fillId="0" borderId="0" xfId="0" applyFont="1" applyFill="1"/>
    <xf numFmtId="41" fontId="3" fillId="0" borderId="3" xfId="0" applyNumberFormat="1" applyFont="1" applyFill="1" applyBorder="1" applyAlignment="1">
      <alignment horizontal="right" vertical="center"/>
    </xf>
    <xf numFmtId="0" fontId="5" fillId="0" borderId="0" xfId="0" applyFont="1" applyFill="1"/>
    <xf numFmtId="38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/>
    <xf numFmtId="0" fontId="0" fillId="0" borderId="0" xfId="0" applyFill="1" applyAlignment="1">
      <alignment horizontal="left" vertical="center" wrapText="1"/>
    </xf>
  </cellXfs>
  <cellStyles count="76">
    <cellStyle name="Comma 2" xfId="3"/>
    <cellStyle name="Comma 2 2 2" xfId="4"/>
    <cellStyle name="Comma 3" xfId="5"/>
    <cellStyle name="Comma 4" xfId="6"/>
    <cellStyle name="Comma0" xfId="7"/>
    <cellStyle name="Currency" xfId="1" builtinId="4"/>
    <cellStyle name="Currency 2" xfId="8"/>
    <cellStyle name="Currency 2 2 2" xfId="9"/>
    <cellStyle name="Currency No Comma" xfId="10"/>
    <cellStyle name="Currency0" xfId="11"/>
    <cellStyle name="Date" xfId="12"/>
    <cellStyle name="Fixed" xfId="13"/>
    <cellStyle name="MCP" xfId="14"/>
    <cellStyle name="noninput" xfId="15"/>
    <cellStyle name="Normal" xfId="0" builtinId="0"/>
    <cellStyle name="Normal 10" xfId="16"/>
    <cellStyle name="Normal 12" xfId="17"/>
    <cellStyle name="Normal 13" xfId="18"/>
    <cellStyle name="Normal 2" xfId="19"/>
    <cellStyle name="Normal 2 2" xfId="20"/>
    <cellStyle name="Normal 2 3" xfId="21"/>
    <cellStyle name="Normal 2 3 2" xfId="22"/>
    <cellStyle name="Normal 3" xfId="23"/>
    <cellStyle name="Normal 3 2" xfId="24"/>
    <cellStyle name="Normal 4" xfId="25"/>
    <cellStyle name="Normal 5" xfId="26"/>
    <cellStyle name="Normal 6" xfId="27"/>
    <cellStyle name="Normal 7" xfId="28"/>
    <cellStyle name="Normal 8" xfId="29"/>
    <cellStyle name="Normal 9" xfId="30"/>
    <cellStyle name="Password" xfId="31"/>
    <cellStyle name="Percent" xfId="2" builtinId="5"/>
    <cellStyle name="Percent 2" xfId="32"/>
    <cellStyle name="Percent 2 2" xfId="33"/>
    <cellStyle name="Percent 2 2 2" xfId="34"/>
    <cellStyle name="SAPBEXaggData" xfId="35"/>
    <cellStyle name="SAPBEXaggDataEmph" xfId="36"/>
    <cellStyle name="SAPBEXaggItem" xfId="37"/>
    <cellStyle name="SAPBEXaggItemX" xfId="38"/>
    <cellStyle name="SAPBEXchaText" xfId="39"/>
    <cellStyle name="SAPBEXexcBad7" xfId="40"/>
    <cellStyle name="SAPBEXexcBad8" xfId="41"/>
    <cellStyle name="SAPBEXexcBad9" xfId="42"/>
    <cellStyle name="SAPBEXexcCritical4" xfId="43"/>
    <cellStyle name="SAPBEXexcCritical5" xfId="44"/>
    <cellStyle name="SAPBEXexcCritical6" xfId="45"/>
    <cellStyle name="SAPBEXexcGood1" xfId="46"/>
    <cellStyle name="SAPBEXexcGood2" xfId="47"/>
    <cellStyle name="SAPBEXexcGood3" xfId="48"/>
    <cellStyle name="SAPBEXfilterDrill" xfId="49"/>
    <cellStyle name="SAPBEXfilterItem" xfId="50"/>
    <cellStyle name="SAPBEXfilterText" xfId="51"/>
    <cellStyle name="SAPBEXformats" xfId="52"/>
    <cellStyle name="SAPBEXheaderItem" xfId="53"/>
    <cellStyle name="SAPBEXheaderText" xfId="54"/>
    <cellStyle name="SAPBEXHLevel0" xfId="55"/>
    <cellStyle name="SAPBEXHLevel0X" xfId="56"/>
    <cellStyle name="SAPBEXHLevel1" xfId="57"/>
    <cellStyle name="SAPBEXHLevel1X" xfId="58"/>
    <cellStyle name="SAPBEXHLevel2" xfId="59"/>
    <cellStyle name="SAPBEXHLevel2X" xfId="60"/>
    <cellStyle name="SAPBEXHLevel3" xfId="61"/>
    <cellStyle name="SAPBEXHLevel3X" xfId="62"/>
    <cellStyle name="SAPBEXresData" xfId="63"/>
    <cellStyle name="SAPBEXresDataEmph" xfId="64"/>
    <cellStyle name="SAPBEXresItem" xfId="65"/>
    <cellStyle name="SAPBEXresItemX" xfId="66"/>
    <cellStyle name="SAPBEXstdData" xfId="67"/>
    <cellStyle name="SAPBEXstdDataEmph" xfId="68"/>
    <cellStyle name="SAPBEXstdItem" xfId="69"/>
    <cellStyle name="SAPBEXstdItemX" xfId="70"/>
    <cellStyle name="SAPBEXtitle" xfId="71"/>
    <cellStyle name="SAPBEXundefined" xfId="72"/>
    <cellStyle name="Unprot" xfId="73"/>
    <cellStyle name="Unprot$" xfId="74"/>
    <cellStyle name="Unprotect" xfId="7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view="pageLayout" zoomScaleNormal="90" zoomScaleSheetLayoutView="90" workbookViewId="0">
      <selection activeCell="B27" sqref="B27"/>
    </sheetView>
  </sheetViews>
  <sheetFormatPr defaultRowHeight="12.75"/>
  <cols>
    <col min="1" max="1" width="5.7109375" style="7" customWidth="1"/>
    <col min="2" max="2" width="46.85546875" style="8" bestFit="1" customWidth="1"/>
    <col min="3" max="3" width="0.85546875" style="9" customWidth="1"/>
    <col min="4" max="4" width="38.5703125" style="10" customWidth="1"/>
    <col min="5" max="5" width="0.85546875" style="9" customWidth="1"/>
    <col min="6" max="8" width="14.42578125" style="9" customWidth="1"/>
    <col min="9" max="9" width="0.85546875" style="9" customWidth="1"/>
    <col min="10" max="10" width="14.7109375" style="9" customWidth="1"/>
    <col min="11" max="11" width="0.85546875" style="9" customWidth="1"/>
    <col min="12" max="12" width="9.7109375" customWidth="1"/>
    <col min="13" max="14" width="9.7109375" style="9" customWidth="1"/>
    <col min="15" max="16384" width="9.140625" style="9"/>
  </cols>
  <sheetData>
    <row r="1" spans="1:12" s="3" customFormat="1">
      <c r="A1" s="1" t="s">
        <v>49</v>
      </c>
      <c r="B1" s="2"/>
      <c r="D1" s="4"/>
      <c r="F1" s="5"/>
      <c r="G1" s="5"/>
      <c r="H1" s="5"/>
      <c r="I1" s="5"/>
      <c r="J1" s="5"/>
      <c r="K1" s="5"/>
      <c r="L1" s="6"/>
    </row>
    <row r="2" spans="1:12" s="3" customFormat="1">
      <c r="A2" s="1" t="s">
        <v>50</v>
      </c>
      <c r="B2" s="2"/>
      <c r="D2" s="4"/>
      <c r="L2" s="6"/>
    </row>
    <row r="3" spans="1:12" s="3" customFormat="1">
      <c r="A3" s="1" t="s">
        <v>51</v>
      </c>
      <c r="B3" s="2"/>
      <c r="D3" s="4"/>
      <c r="L3" s="6"/>
    </row>
    <row r="4" spans="1:12">
      <c r="G4" s="11"/>
      <c r="H4" s="11"/>
    </row>
    <row r="5" spans="1:12">
      <c r="A5" s="9"/>
      <c r="B5" s="12"/>
    </row>
    <row r="6" spans="1:12" ht="25.5">
      <c r="A6" s="13" t="s">
        <v>0</v>
      </c>
      <c r="B6" s="14"/>
      <c r="C6" s="3"/>
      <c r="D6" s="15" t="s">
        <v>1</v>
      </c>
      <c r="E6" s="3"/>
      <c r="F6" s="16">
        <v>40817</v>
      </c>
      <c r="G6" s="16">
        <f>EDATE(F6,1)</f>
        <v>40848</v>
      </c>
      <c r="H6" s="16">
        <f t="shared" ref="H6" si="0">EDATE(G6,1)</f>
        <v>40878</v>
      </c>
      <c r="I6" s="17"/>
      <c r="J6" s="16" t="s">
        <v>2</v>
      </c>
      <c r="K6" s="17"/>
    </row>
    <row r="7" spans="1:12">
      <c r="A7" s="18"/>
      <c r="B7" s="19"/>
      <c r="C7" s="3"/>
      <c r="D7" s="20"/>
      <c r="E7" s="3"/>
      <c r="F7" s="17"/>
      <c r="G7" s="17"/>
      <c r="H7" s="17"/>
      <c r="I7" s="17"/>
      <c r="J7" s="17"/>
      <c r="K7" s="17"/>
    </row>
    <row r="8" spans="1:12">
      <c r="A8" s="21" t="s">
        <v>3</v>
      </c>
      <c r="B8" s="22"/>
      <c r="C8" s="3"/>
      <c r="D8" s="23"/>
      <c r="E8" s="3"/>
      <c r="F8" s="24"/>
      <c r="G8" s="24"/>
      <c r="H8" s="24"/>
      <c r="I8" s="24"/>
      <c r="J8" s="24"/>
      <c r="K8" s="24"/>
    </row>
    <row r="9" spans="1:12">
      <c r="A9" s="25"/>
      <c r="B9" s="26"/>
      <c r="C9" s="21"/>
      <c r="D9" s="27"/>
      <c r="E9" s="21"/>
      <c r="F9" s="28"/>
      <c r="G9" s="28"/>
      <c r="H9" s="28"/>
      <c r="I9" s="28"/>
      <c r="J9" s="28"/>
      <c r="K9" s="24"/>
    </row>
    <row r="10" spans="1:12">
      <c r="A10" s="25">
        <f>+MAX($A$1:A9)+1</f>
        <v>1</v>
      </c>
      <c r="B10" s="23" t="s">
        <v>4</v>
      </c>
      <c r="D10" s="29" t="s">
        <v>5</v>
      </c>
      <c r="F10" s="30">
        <v>108780342.24333329</v>
      </c>
      <c r="G10" s="30">
        <v>122931522.9366667</v>
      </c>
      <c r="H10" s="30">
        <v>135369318.95000005</v>
      </c>
      <c r="J10" s="31">
        <f>+SUM(F10:H10)</f>
        <v>367081184.13000005</v>
      </c>
      <c r="K10" s="24"/>
    </row>
    <row r="11" spans="1:12">
      <c r="A11" s="25">
        <f>+MAX($A$1:A10)+1</f>
        <v>2</v>
      </c>
      <c r="B11" s="23" t="s">
        <v>6</v>
      </c>
      <c r="D11" s="29" t="s">
        <v>7</v>
      </c>
      <c r="F11" s="32">
        <v>4623089.8420970039</v>
      </c>
      <c r="G11" s="32">
        <v>4871220.3580197915</v>
      </c>
      <c r="H11" s="32">
        <v>5421423.9761186205</v>
      </c>
      <c r="J11" s="33">
        <f>+SUM(F11:H11)</f>
        <v>14915734.176235415</v>
      </c>
      <c r="K11" s="24"/>
    </row>
    <row r="12" spans="1:12">
      <c r="A12" s="25">
        <f>+MAX($A$1:A11)+1</f>
        <v>3</v>
      </c>
      <c r="B12" s="23" t="s">
        <v>8</v>
      </c>
      <c r="D12" s="27" t="str">
        <f>"Line "&amp;$A$10&amp;" / Line "&amp;$A$11&amp;""</f>
        <v>Line 1 / Line 2</v>
      </c>
      <c r="F12" s="34">
        <f>+F10/F11</f>
        <v>23.529791970036911</v>
      </c>
      <c r="G12" s="34">
        <f>+G10/G11</f>
        <v>25.236288630276583</v>
      </c>
      <c r="H12" s="34">
        <f>+H10/H11</f>
        <v>24.96932900771127</v>
      </c>
      <c r="J12" s="34">
        <f>+J10/J11</f>
        <v>24.610332940557122</v>
      </c>
      <c r="K12" s="24"/>
    </row>
    <row r="13" spans="1:12">
      <c r="A13" s="25">
        <f>+MAX($A$1:A12)+1</f>
        <v>4</v>
      </c>
      <c r="B13" s="23" t="s">
        <v>9</v>
      </c>
      <c r="D13" s="27" t="s">
        <v>10</v>
      </c>
      <c r="F13" s="35">
        <v>1.0001400489293799</v>
      </c>
      <c r="G13" s="35">
        <v>1.0001400489293799</v>
      </c>
      <c r="H13" s="35">
        <v>1.0001400489293799</v>
      </c>
      <c r="I13" s="36"/>
      <c r="J13" s="35">
        <v>1.0001400489293799</v>
      </c>
      <c r="K13" s="24"/>
    </row>
    <row r="14" spans="1:12">
      <c r="A14" s="25">
        <f>+MAX($A$1:A13)+1</f>
        <v>5</v>
      </c>
      <c r="B14" s="23" t="s">
        <v>11</v>
      </c>
      <c r="D14" s="27" t="str">
        <f>"Line "&amp;$A$12&amp;" * Line "&amp;$A$13&amp;""</f>
        <v>Line 3 * Line 4</v>
      </c>
      <c r="F14" s="34">
        <f>+F12*F13</f>
        <v>23.533087292210848</v>
      </c>
      <c r="G14" s="34">
        <f>+G12*G13</f>
        <v>25.239822945480775</v>
      </c>
      <c r="H14" s="34">
        <f>+H12*H13</f>
        <v>24.972825935506133</v>
      </c>
      <c r="J14" s="34">
        <f>+J12*J13</f>
        <v>24.613779591337131</v>
      </c>
      <c r="K14" s="24"/>
    </row>
    <row r="15" spans="1:12">
      <c r="A15" s="25">
        <f>+MAX($A$1:A14)+1</f>
        <v>6</v>
      </c>
      <c r="B15" s="23" t="s">
        <v>12</v>
      </c>
      <c r="D15" s="29" t="s">
        <v>7</v>
      </c>
      <c r="F15" s="32">
        <v>1937227.7424222422</v>
      </c>
      <c r="G15" s="32">
        <v>1996734.1229581423</v>
      </c>
      <c r="H15" s="32">
        <v>2169765.7603625082</v>
      </c>
      <c r="I15" s="37"/>
      <c r="J15" s="33">
        <f>+SUM(F15:H15)</f>
        <v>6103727.6257428927</v>
      </c>
      <c r="K15" s="24"/>
    </row>
    <row r="16" spans="1:12">
      <c r="A16" s="25">
        <f>+MAX($A$1:A15)+1</f>
        <v>7</v>
      </c>
      <c r="B16" s="23" t="s">
        <v>13</v>
      </c>
      <c r="D16" s="27" t="str">
        <f>"Line "&amp;$A$14&amp;" * Line "&amp;$A$15&amp;""</f>
        <v>Line 5 * Line 6</v>
      </c>
      <c r="F16" s="37">
        <f>+F14*F15</f>
        <v>45588949.567315176</v>
      </c>
      <c r="G16" s="37">
        <f>+G14*G15</f>
        <v>50397215.732663348</v>
      </c>
      <c r="H16" s="37">
        <f>+H14*H15</f>
        <v>54185182.654354028</v>
      </c>
      <c r="J16" s="37">
        <f>+SUM(F16:H16)</f>
        <v>150171347.95433256</v>
      </c>
      <c r="K16" s="24"/>
    </row>
    <row r="17" spans="1:14">
      <c r="A17" s="25"/>
      <c r="B17" s="23"/>
      <c r="D17" s="27"/>
      <c r="F17" s="37"/>
      <c r="G17" s="37"/>
      <c r="H17" s="37"/>
      <c r="J17" s="37"/>
      <c r="K17" s="24"/>
    </row>
    <row r="18" spans="1:14">
      <c r="A18" s="25">
        <f>+MAX($A$1:A17)+1</f>
        <v>8</v>
      </c>
      <c r="B18" s="23" t="s">
        <v>14</v>
      </c>
      <c r="D18" s="29" t="s">
        <v>15</v>
      </c>
      <c r="F18" s="37">
        <v>-5169348.05</v>
      </c>
      <c r="G18" s="37">
        <v>-4510261.4899999993</v>
      </c>
      <c r="H18" s="37">
        <v>-4665064.6700000009</v>
      </c>
      <c r="J18" s="37">
        <f>+SUM(F18:H18)</f>
        <v>-14344674.210000001</v>
      </c>
      <c r="K18" s="24"/>
    </row>
    <row r="19" spans="1:14">
      <c r="A19" s="25">
        <f>+MAX($A$1:A18)+1</f>
        <v>9</v>
      </c>
      <c r="B19" s="23" t="s">
        <v>16</v>
      </c>
      <c r="D19" s="29" t="s">
        <v>7</v>
      </c>
      <c r="F19" s="38">
        <v>0.42045255151360406</v>
      </c>
      <c r="G19" s="38">
        <v>0.42045255151360406</v>
      </c>
      <c r="H19" s="38">
        <v>0.42045255151360406</v>
      </c>
      <c r="J19" s="38">
        <v>0.42045255151360406</v>
      </c>
      <c r="K19" s="24"/>
    </row>
    <row r="20" spans="1:14">
      <c r="A20" s="25">
        <f>+MAX($A$1:A19)+1</f>
        <v>10</v>
      </c>
      <c r="B20" s="23" t="s">
        <v>17</v>
      </c>
      <c r="D20" s="27" t="str">
        <f>"Line "&amp;$A$18&amp;" * Line "&amp;$A$19&amp;""</f>
        <v>Line 8 * Line 9</v>
      </c>
      <c r="F20" s="37">
        <f>+F19*F18</f>
        <v>-2173465.5772843738</v>
      </c>
      <c r="G20" s="37">
        <f t="shared" ref="G20:J20" si="1">+G19*G18</f>
        <v>-1896350.9514640493</v>
      </c>
      <c r="H20" s="37">
        <f t="shared" si="1"/>
        <v>-1961438.3434774696</v>
      </c>
      <c r="J20" s="37">
        <f t="shared" si="1"/>
        <v>-6031254.8722258927</v>
      </c>
      <c r="K20" s="24"/>
    </row>
    <row r="21" spans="1:14">
      <c r="A21" s="25"/>
      <c r="B21" s="23"/>
      <c r="D21" s="27"/>
      <c r="F21" s="37"/>
      <c r="G21" s="37"/>
      <c r="H21" s="37"/>
      <c r="J21" s="37"/>
      <c r="K21" s="24"/>
    </row>
    <row r="22" spans="1:14">
      <c r="A22" s="25">
        <f>+MAX($A$1:A21)+1</f>
        <v>11</v>
      </c>
      <c r="B22" s="23" t="s">
        <v>18</v>
      </c>
      <c r="D22" s="29" t="s">
        <v>15</v>
      </c>
      <c r="F22" s="37">
        <v>-804118.08000000007</v>
      </c>
      <c r="G22" s="37">
        <v>-589293.24</v>
      </c>
      <c r="H22" s="37">
        <v>-284090.09000000008</v>
      </c>
      <c r="J22" s="37">
        <f>+SUM(F22:H22)</f>
        <v>-1677501.4100000001</v>
      </c>
      <c r="K22" s="24"/>
    </row>
    <row r="23" spans="1:14">
      <c r="A23" s="25">
        <f>+MAX($A$1:A22)+1</f>
        <v>12</v>
      </c>
      <c r="B23" s="23" t="s">
        <v>19</v>
      </c>
      <c r="D23" s="29" t="s">
        <v>7</v>
      </c>
      <c r="F23" s="38">
        <v>0.41911419017901286</v>
      </c>
      <c r="G23" s="38">
        <v>0.41911419017901286</v>
      </c>
      <c r="H23" s="38">
        <v>0.41911419017901286</v>
      </c>
      <c r="J23" s="38">
        <v>0.41911419017901286</v>
      </c>
      <c r="K23" s="24"/>
    </row>
    <row r="24" spans="1:14">
      <c r="A24" s="25">
        <f>+MAX($A$1:A23)+1</f>
        <v>13</v>
      </c>
      <c r="B24" s="23" t="s">
        <v>20</v>
      </c>
      <c r="D24" s="27" t="str">
        <f>"Line "&amp;$A$22&amp;" * Line "&amp;$A$23&amp;""</f>
        <v>Line 11 * Line 12</v>
      </c>
      <c r="F24" s="37">
        <f>+F23*F22</f>
        <v>-337017.29790750268</v>
      </c>
      <c r="G24" s="37">
        <f t="shared" ref="G24:H24" si="2">+G23*G22</f>
        <v>-246981.15906056666</v>
      </c>
      <c r="H24" s="37">
        <f t="shared" si="2"/>
        <v>-119066.18800823292</v>
      </c>
      <c r="J24" s="37">
        <f t="shared" ref="J24" si="3">+J23*J22</f>
        <v>-703064.64497630228</v>
      </c>
      <c r="K24" s="24"/>
    </row>
    <row r="25" spans="1:14">
      <c r="A25" s="25"/>
      <c r="B25" s="23"/>
      <c r="D25" s="27"/>
      <c r="F25" s="37"/>
      <c r="G25" s="37"/>
      <c r="H25" s="37"/>
      <c r="J25" s="37"/>
      <c r="K25" s="24"/>
    </row>
    <row r="26" spans="1:14">
      <c r="A26" s="25">
        <f>+MAX($A$1:A25)+1</f>
        <v>14</v>
      </c>
      <c r="B26" s="64" t="s">
        <v>52</v>
      </c>
      <c r="D26" s="27" t="str">
        <f>"∑ Lines "&amp;$A$16&amp;","&amp;$A$20&amp;","&amp;A24</f>
        <v>∑ Lines 7,10,13</v>
      </c>
      <c r="F26" s="39">
        <f>+SUM(F16,F20,F24)</f>
        <v>43078466.692123301</v>
      </c>
      <c r="G26" s="39">
        <f>+SUM(G16,G20,G24)</f>
        <v>48253883.622138731</v>
      </c>
      <c r="H26" s="39">
        <f>+SUM(H16,H20,H24)</f>
        <v>52104678.122868322</v>
      </c>
      <c r="I26" s="31"/>
      <c r="J26" s="37">
        <f>+SUM(F26:H26)</f>
        <v>143437028.43713036</v>
      </c>
      <c r="K26" s="24"/>
    </row>
    <row r="27" spans="1:14">
      <c r="A27" s="25">
        <f>+MAX($A$1:A26)+1</f>
        <v>15</v>
      </c>
      <c r="B27" s="23" t="str">
        <f>+B15</f>
        <v>Utah Jurisdictional Load (MWh)</v>
      </c>
      <c r="D27" s="27" t="str">
        <f>"Line "&amp;$A$15</f>
        <v>Line 6</v>
      </c>
      <c r="F27" s="39">
        <f>+F15</f>
        <v>1937227.7424222422</v>
      </c>
      <c r="G27" s="39">
        <f>+G15</f>
        <v>1996734.1229581423</v>
      </c>
      <c r="H27" s="39">
        <f>+H15</f>
        <v>2169765.7603625082</v>
      </c>
      <c r="I27" s="31"/>
      <c r="J27" s="39">
        <f>+SUM(F27:H27)</f>
        <v>6103727.6257428927</v>
      </c>
      <c r="K27" s="24"/>
    </row>
    <row r="28" spans="1:14">
      <c r="A28" s="25">
        <f>+MAX($A$1:A27)+1</f>
        <v>16</v>
      </c>
      <c r="B28" s="23" t="s">
        <v>21</v>
      </c>
      <c r="D28" s="27" t="str">
        <f>"Line "&amp;$A$26&amp;" / Line "&amp;$A$27&amp;""</f>
        <v>Line 14 / Line 15</v>
      </c>
      <c r="F28" s="34">
        <f>+F26/F27</f>
        <v>22.23717209328186</v>
      </c>
      <c r="G28" s="34">
        <f>+G26/G27</f>
        <v>24.166404063176458</v>
      </c>
      <c r="H28" s="34">
        <f>+H26/H27</f>
        <v>24.013964583053916</v>
      </c>
      <c r="I28" s="34"/>
      <c r="J28" s="34">
        <f>+J26/J27</f>
        <v>23.499906488647166</v>
      </c>
      <c r="K28" s="24"/>
    </row>
    <row r="29" spans="1:14">
      <c r="A29" s="25"/>
      <c r="B29" s="23"/>
      <c r="D29" s="27"/>
      <c r="F29" s="28"/>
      <c r="G29" s="28"/>
      <c r="H29" s="28"/>
      <c r="I29" s="28"/>
      <c r="J29" s="40"/>
      <c r="K29" s="24"/>
    </row>
    <row r="30" spans="1:14" customFormat="1">
      <c r="A30" s="25"/>
      <c r="B30" s="8"/>
      <c r="C30" s="9"/>
      <c r="D30" s="27"/>
      <c r="E30" s="9"/>
      <c r="F30" s="9"/>
      <c r="G30" s="9"/>
      <c r="H30" s="9"/>
      <c r="I30" s="9"/>
      <c r="J30" s="9"/>
      <c r="K30" s="24"/>
      <c r="M30" s="9"/>
      <c r="N30" s="9"/>
    </row>
    <row r="31" spans="1:14" customFormat="1">
      <c r="A31" s="41" t="s">
        <v>22</v>
      </c>
      <c r="B31" s="42"/>
      <c r="C31" s="43"/>
      <c r="D31" s="27"/>
      <c r="E31" s="43"/>
      <c r="F31" s="43"/>
      <c r="G31" s="43"/>
      <c r="H31" s="43"/>
      <c r="I31" s="43"/>
      <c r="J31" s="43"/>
      <c r="K31" s="24"/>
      <c r="M31" s="9"/>
      <c r="N31" s="9"/>
    </row>
    <row r="32" spans="1:14" customFormat="1">
      <c r="A32" s="41"/>
      <c r="B32" s="42"/>
      <c r="C32" s="43"/>
      <c r="D32" s="27"/>
      <c r="E32" s="43"/>
      <c r="F32" s="43"/>
      <c r="G32" s="43"/>
      <c r="H32" s="43"/>
      <c r="I32" s="43"/>
      <c r="J32" s="43"/>
      <c r="K32" s="24"/>
      <c r="M32" s="9"/>
      <c r="N32" s="9"/>
    </row>
    <row r="33" spans="1:14" customFormat="1" ht="25.5">
      <c r="A33" s="25">
        <f>+MAX($A$1:A32)+1</f>
        <v>17</v>
      </c>
      <c r="B33" s="23" t="s">
        <v>23</v>
      </c>
      <c r="C33" s="21"/>
      <c r="D33" s="27" t="s">
        <v>24</v>
      </c>
      <c r="E33" s="21"/>
      <c r="F33" s="37">
        <v>44573787.552413359</v>
      </c>
      <c r="G33" s="37">
        <v>43854006.372789942</v>
      </c>
      <c r="H33" s="37">
        <v>47030118.841401227</v>
      </c>
      <c r="I33" s="37"/>
      <c r="J33" s="31">
        <f>+SUM(F33:H33)</f>
        <v>135457912.76660451</v>
      </c>
      <c r="K33" s="24"/>
      <c r="M33" s="9"/>
      <c r="N33" s="9"/>
    </row>
    <row r="34" spans="1:14" customFormat="1" ht="25.5">
      <c r="A34" s="25">
        <f>+MAX($A$1:A33)+1</f>
        <v>18</v>
      </c>
      <c r="B34" s="23" t="s">
        <v>25</v>
      </c>
      <c r="C34" s="21"/>
      <c r="D34" s="27" t="s">
        <v>26</v>
      </c>
      <c r="E34" s="21"/>
      <c r="F34" s="37">
        <v>2071429</v>
      </c>
      <c r="G34" s="37">
        <v>2071816</v>
      </c>
      <c r="H34" s="37">
        <v>2188691</v>
      </c>
      <c r="I34" s="28"/>
      <c r="J34" s="31">
        <f>+SUM(F34:H34)</f>
        <v>6331936</v>
      </c>
      <c r="K34" s="24"/>
      <c r="M34" s="9"/>
      <c r="N34" s="9"/>
    </row>
    <row r="35" spans="1:14" customFormat="1">
      <c r="A35" s="25">
        <f>+MAX($A$1:A34)+1</f>
        <v>19</v>
      </c>
      <c r="B35" s="23" t="s">
        <v>27</v>
      </c>
      <c r="C35" s="21"/>
      <c r="D35" s="27" t="str">
        <f>"Line "&amp;$A$33&amp;" / Line "&amp;$A$34&amp;""</f>
        <v>Line 17 / Line 18</v>
      </c>
      <c r="E35" s="21"/>
      <c r="F35" s="44">
        <f>+F33/F34</f>
        <v>21.518375745639055</v>
      </c>
      <c r="G35" s="44">
        <f>+G33/G34</f>
        <v>21.166940680441673</v>
      </c>
      <c r="H35" s="44">
        <f>+H33/H34</f>
        <v>21.487783721594884</v>
      </c>
      <c r="I35" s="31"/>
      <c r="J35" s="44">
        <f>+J33/J34</f>
        <v>21.392811419225417</v>
      </c>
      <c r="K35" s="24"/>
      <c r="M35" s="9"/>
      <c r="N35" s="9"/>
    </row>
    <row r="36" spans="1:14" customFormat="1">
      <c r="A36" s="25"/>
      <c r="B36" s="23"/>
      <c r="C36" s="21"/>
      <c r="D36" s="27"/>
      <c r="E36" s="21"/>
      <c r="F36" s="37"/>
      <c r="G36" s="37"/>
      <c r="H36" s="37"/>
      <c r="I36" s="37"/>
      <c r="J36" s="39"/>
      <c r="K36" s="24"/>
      <c r="M36" s="9"/>
      <c r="N36" s="9"/>
    </row>
    <row r="37" spans="1:14" customFormat="1">
      <c r="A37" s="25"/>
      <c r="B37" s="45"/>
      <c r="C37" s="21"/>
      <c r="D37" s="27"/>
      <c r="E37" s="21"/>
      <c r="F37" s="28"/>
      <c r="G37" s="28"/>
      <c r="H37" s="28"/>
      <c r="I37" s="28"/>
      <c r="J37" s="40"/>
      <c r="K37" s="24"/>
      <c r="M37" s="9"/>
      <c r="N37" s="9"/>
    </row>
    <row r="38" spans="1:14" customFormat="1">
      <c r="A38" s="21" t="s">
        <v>28</v>
      </c>
      <c r="B38" s="45"/>
      <c r="C38" s="21"/>
      <c r="D38" s="27"/>
      <c r="E38" s="21"/>
      <c r="F38" s="28"/>
      <c r="G38" s="28"/>
      <c r="H38" s="28"/>
      <c r="I38" s="28"/>
      <c r="J38" s="40"/>
      <c r="K38" s="24"/>
      <c r="M38" s="9"/>
      <c r="N38" s="9"/>
    </row>
    <row r="39" spans="1:14" customFormat="1">
      <c r="A39" s="21"/>
      <c r="B39" s="45"/>
      <c r="C39" s="21"/>
      <c r="D39" s="27"/>
      <c r="E39" s="21"/>
      <c r="F39" s="28"/>
      <c r="G39" s="28"/>
      <c r="H39" s="28"/>
      <c r="I39" s="28"/>
      <c r="J39" s="40"/>
      <c r="K39" s="24"/>
      <c r="M39" s="9"/>
      <c r="N39" s="9"/>
    </row>
    <row r="40" spans="1:14" customFormat="1">
      <c r="A40" s="25">
        <f>+MAX($A$1:A39)+1</f>
        <v>20</v>
      </c>
      <c r="B40" s="23" t="s">
        <v>29</v>
      </c>
      <c r="C40" s="21"/>
      <c r="D40" s="27" t="str">
        <f>"Line "&amp;A28&amp;" - Line "&amp;A35&amp;""</f>
        <v>Line 16 - Line 19</v>
      </c>
      <c r="E40" s="21"/>
      <c r="F40" s="46">
        <f>+F28-F35</f>
        <v>0.71879634764280453</v>
      </c>
      <c r="G40" s="46">
        <f>+G28-G35</f>
        <v>2.9994633827347847</v>
      </c>
      <c r="H40" s="46">
        <f>+H28-H35</f>
        <v>2.5261808614590322</v>
      </c>
      <c r="I40" s="46"/>
      <c r="J40" s="46">
        <f>+J28-J35</f>
        <v>2.1070950694217494</v>
      </c>
      <c r="K40" s="24"/>
      <c r="M40" s="9"/>
      <c r="N40" s="9"/>
    </row>
    <row r="41" spans="1:14">
      <c r="A41" s="25">
        <f>+MAX($A$1:A40)+1</f>
        <v>21</v>
      </c>
      <c r="B41" s="23" t="str">
        <f>+B27</f>
        <v>Utah Jurisdictional Load (MWh)</v>
      </c>
      <c r="D41" s="27" t="str">
        <f>"Line "&amp;$A$15</f>
        <v>Line 6</v>
      </c>
      <c r="F41" s="39">
        <f>+F15</f>
        <v>1937227.7424222422</v>
      </c>
      <c r="G41" s="39">
        <f t="shared" ref="G41:H41" si="4">+G15</f>
        <v>1996734.1229581423</v>
      </c>
      <c r="H41" s="39">
        <f t="shared" si="4"/>
        <v>2169765.7603625082</v>
      </c>
      <c r="I41" s="31"/>
      <c r="J41" s="39">
        <f>+SUM(F41:H41)</f>
        <v>6103727.6257428927</v>
      </c>
      <c r="K41" s="24"/>
    </row>
    <row r="42" spans="1:14" customFormat="1">
      <c r="A42" s="25">
        <f>+MAX($A$1:A41)+1</f>
        <v>22</v>
      </c>
      <c r="B42" s="23" t="s">
        <v>30</v>
      </c>
      <c r="C42" s="21"/>
      <c r="D42" s="27" t="str">
        <f>"Line "&amp;$A$40&amp;" * Line "&amp;$A$41&amp;""</f>
        <v>Line 20 * Line 21</v>
      </c>
      <c r="E42" s="21"/>
      <c r="F42" s="37">
        <f>+F40*F41</f>
        <v>1392472.2258054235</v>
      </c>
      <c r="G42" s="37">
        <f>+G40*G41</f>
        <v>5989130.8868700033</v>
      </c>
      <c r="H42" s="37">
        <f>+H40*H41</f>
        <v>5481220.7376768729</v>
      </c>
      <c r="I42" s="37"/>
      <c r="J42" s="31">
        <f>+SUM(F42:H42)</f>
        <v>12862823.850352298</v>
      </c>
      <c r="K42" s="24"/>
      <c r="M42" s="9"/>
      <c r="N42" s="9"/>
    </row>
    <row r="43" spans="1:14" customFormat="1">
      <c r="A43" s="25"/>
      <c r="B43" s="23"/>
      <c r="C43" s="21"/>
      <c r="D43" s="27"/>
      <c r="E43" s="21"/>
      <c r="F43" s="28"/>
      <c r="G43" s="28"/>
      <c r="H43" s="28"/>
      <c r="I43" s="28"/>
      <c r="J43" s="40"/>
      <c r="K43" s="24"/>
      <c r="M43" s="9"/>
      <c r="N43" s="9"/>
    </row>
    <row r="44" spans="1:14" customFormat="1">
      <c r="A44" s="25">
        <f>+MAX($A$1:A43)+1</f>
        <v>23</v>
      </c>
      <c r="B44" s="23" t="s">
        <v>31</v>
      </c>
      <c r="C44" s="21"/>
      <c r="D44" s="27" t="str">
        <f>"Line "&amp;A42&amp;" * 70%"</f>
        <v>Line 22 * 70%</v>
      </c>
      <c r="E44" s="21"/>
      <c r="F44" s="37">
        <f>+F42*0.7</f>
        <v>974730.55806379637</v>
      </c>
      <c r="G44" s="37">
        <f>+G42*0.7</f>
        <v>4192391.6208090018</v>
      </c>
      <c r="H44" s="37">
        <f>+H42*0.7</f>
        <v>3836854.5163738108</v>
      </c>
      <c r="I44" s="37"/>
      <c r="J44" s="31">
        <f>+SUM(F44:H44)</f>
        <v>9003976.6952466089</v>
      </c>
      <c r="K44" s="24"/>
      <c r="M44" s="9"/>
      <c r="N44" s="9"/>
    </row>
    <row r="45" spans="1:14" customFormat="1">
      <c r="A45" s="25">
        <f>+MAX($A$1:A44)+1</f>
        <v>24</v>
      </c>
      <c r="B45" s="23" t="s">
        <v>32</v>
      </c>
      <c r="C45" s="21"/>
      <c r="D45" s="29" t="s">
        <v>15</v>
      </c>
      <c r="E45" s="21"/>
      <c r="F45" s="28">
        <v>0</v>
      </c>
      <c r="G45" s="28">
        <v>0</v>
      </c>
      <c r="H45" s="28">
        <v>0</v>
      </c>
      <c r="I45" s="28"/>
      <c r="J45" s="31">
        <f>+SUM(F45:H45)</f>
        <v>0</v>
      </c>
      <c r="K45" s="24"/>
      <c r="M45" s="9"/>
      <c r="N45" s="9"/>
    </row>
    <row r="46" spans="1:14" customFormat="1">
      <c r="A46" s="25">
        <f>+MAX($A$1:A45)+1</f>
        <v>25</v>
      </c>
      <c r="B46" s="45" t="s">
        <v>33</v>
      </c>
      <c r="C46" s="21"/>
      <c r="D46" s="27" t="str">
        <f>"∑ Lines "&amp;$A$44&amp;":"&amp;$A$45&amp;""</f>
        <v>∑ Lines 23:24</v>
      </c>
      <c r="E46" s="21"/>
      <c r="F46" s="47">
        <f>+SUM(F44:F45)</f>
        <v>974730.55806379637</v>
      </c>
      <c r="G46" s="47">
        <f>+SUM(G44:G45)</f>
        <v>4192391.6208090018</v>
      </c>
      <c r="H46" s="47">
        <f>+SUM(H44:H45)</f>
        <v>3836854.5163738108</v>
      </c>
      <c r="I46" s="40"/>
      <c r="J46" s="47">
        <f>+SUM(J44:J45)</f>
        <v>9003976.6952466089</v>
      </c>
      <c r="K46" s="24"/>
      <c r="M46" s="9"/>
      <c r="N46" s="9"/>
    </row>
    <row r="47" spans="1:14" customFormat="1">
      <c r="A47" s="25"/>
      <c r="B47" s="45"/>
      <c r="C47" s="21"/>
      <c r="D47" s="27"/>
      <c r="E47" s="21"/>
      <c r="F47" s="28"/>
      <c r="G47" s="28"/>
      <c r="H47" s="28"/>
      <c r="I47" s="28"/>
      <c r="J47" s="40"/>
      <c r="K47" s="24"/>
      <c r="M47" s="9"/>
      <c r="N47" s="9"/>
    </row>
    <row r="48" spans="1:14" customFormat="1">
      <c r="A48" s="25"/>
      <c r="B48" s="45"/>
      <c r="C48" s="21"/>
      <c r="D48" s="27"/>
      <c r="E48" s="21"/>
      <c r="F48" s="28"/>
      <c r="G48" s="28"/>
      <c r="H48" s="28"/>
      <c r="I48" s="28"/>
      <c r="J48" s="40"/>
      <c r="K48" s="24"/>
      <c r="M48" s="9"/>
      <c r="N48" s="9"/>
    </row>
    <row r="49" spans="1:14" customFormat="1">
      <c r="A49" s="21" t="s">
        <v>34</v>
      </c>
      <c r="B49" s="45"/>
      <c r="C49" s="21"/>
      <c r="D49" s="27"/>
      <c r="E49" s="21"/>
      <c r="F49" s="28"/>
      <c r="G49" s="28"/>
      <c r="H49" s="28"/>
      <c r="I49" s="28"/>
      <c r="J49" s="40"/>
      <c r="K49" s="24"/>
      <c r="M49" s="9"/>
      <c r="N49" s="9"/>
    </row>
    <row r="50" spans="1:14" customFormat="1">
      <c r="A50" s="25"/>
      <c r="B50" s="45"/>
      <c r="C50" s="48"/>
      <c r="D50" s="27"/>
      <c r="E50" s="48"/>
      <c r="F50" s="40"/>
      <c r="G50" s="40"/>
      <c r="H50" s="40"/>
      <c r="I50" s="31"/>
      <c r="J50" s="40"/>
      <c r="K50" s="49"/>
      <c r="M50" s="9"/>
      <c r="N50" s="9"/>
    </row>
    <row r="51" spans="1:14" customFormat="1">
      <c r="A51" s="25">
        <f>+MAX($A$1:A50)+1</f>
        <v>26</v>
      </c>
      <c r="B51" s="23" t="s">
        <v>35</v>
      </c>
      <c r="C51" s="50"/>
      <c r="D51" s="27" t="s">
        <v>36</v>
      </c>
      <c r="E51" s="50"/>
      <c r="F51" s="51">
        <v>5.0000000000000001E-3</v>
      </c>
      <c r="G51" s="51">
        <v>5.0000000000000001E-3</v>
      </c>
      <c r="H51" s="51">
        <v>5.0000000000000001E-3</v>
      </c>
      <c r="I51" s="52"/>
      <c r="J51" s="52"/>
      <c r="K51" s="53"/>
      <c r="M51" s="9"/>
      <c r="N51" s="9"/>
    </row>
    <row r="52" spans="1:14" customFormat="1">
      <c r="A52" s="25">
        <f>+MAX($A$1:A51)+1</f>
        <v>27</v>
      </c>
      <c r="B52" s="23" t="s">
        <v>37</v>
      </c>
      <c r="C52" s="50"/>
      <c r="D52" s="27" t="str">
        <f>"Prior Month Line "&amp;$A$56&amp;""</f>
        <v>Prior Month Line 31</v>
      </c>
      <c r="E52" s="50"/>
      <c r="F52" s="31">
        <v>0</v>
      </c>
      <c r="G52" s="31">
        <f>+F56</f>
        <v>977167.38445895584</v>
      </c>
      <c r="H52" s="31">
        <f>+G56</f>
        <v>5184925.8212422747</v>
      </c>
      <c r="I52" s="31"/>
      <c r="J52" s="31">
        <f>+F52</f>
        <v>0</v>
      </c>
      <c r="K52" s="54"/>
      <c r="M52" s="9"/>
      <c r="N52" s="9"/>
    </row>
    <row r="53" spans="1:14" customFormat="1">
      <c r="A53" s="25">
        <f>+MAX($A$1:A52)+1</f>
        <v>28</v>
      </c>
      <c r="B53" s="23" t="s">
        <v>38</v>
      </c>
      <c r="C53" s="50"/>
      <c r="D53" s="27" t="str">
        <f>"Line "&amp;$A$46</f>
        <v>Line 25</v>
      </c>
      <c r="E53" s="50"/>
      <c r="F53" s="31">
        <f>+F46</f>
        <v>974730.55806379637</v>
      </c>
      <c r="G53" s="31">
        <f t="shared" ref="G53:H53" si="5">+G46</f>
        <v>4192391.6208090018</v>
      </c>
      <c r="H53" s="31">
        <f t="shared" si="5"/>
        <v>3836854.5163738108</v>
      </c>
      <c r="I53" s="31"/>
      <c r="J53" s="31">
        <f>+SUM(F53:H53)</f>
        <v>9003976.6952466089</v>
      </c>
      <c r="K53" s="54"/>
      <c r="M53" s="9"/>
      <c r="N53" s="9"/>
    </row>
    <row r="54" spans="1:14" customFormat="1">
      <c r="A54" s="25">
        <f>+MAX($A$1:A53)+1</f>
        <v>29</v>
      </c>
      <c r="B54" s="23" t="s">
        <v>39</v>
      </c>
      <c r="C54" s="50"/>
      <c r="D54" s="27"/>
      <c r="E54" s="50"/>
      <c r="F54" s="31">
        <v>0</v>
      </c>
      <c r="G54" s="31">
        <v>0</v>
      </c>
      <c r="H54" s="31">
        <v>0</v>
      </c>
      <c r="I54" s="31"/>
      <c r="J54" s="31">
        <f>+SUM(F54:H54)</f>
        <v>0</v>
      </c>
      <c r="K54" s="54"/>
      <c r="M54" s="9"/>
      <c r="N54" s="9"/>
    </row>
    <row r="55" spans="1:14" customFormat="1">
      <c r="A55" s="25">
        <f>+MAX($A$1:A54)+1</f>
        <v>30</v>
      </c>
      <c r="B55" s="55" t="s">
        <v>40</v>
      </c>
      <c r="C55" s="50"/>
      <c r="D55" s="27" t="str">
        <f>"Line "&amp;$A$51&amp;" * ( Line "&amp;$A$52&amp;" + 50% x ∑ Lines "&amp;$A$53&amp;":"&amp;A54&amp;")"</f>
        <v>Line 26 * ( Line 27 + 50% x ∑ Lines 28:29)</v>
      </c>
      <c r="E55" s="50"/>
      <c r="F55" s="33">
        <f>+(F52+0.5*SUM(F53:F54))*F51</f>
        <v>2436.8263951594909</v>
      </c>
      <c r="G55" s="33">
        <f>+(G52+0.5*SUM(G53:G54))*G51</f>
        <v>15366.815974317284</v>
      </c>
      <c r="H55" s="33">
        <f>+(H52+0.5*SUM(H53:H54))*H51</f>
        <v>35516.7653971459</v>
      </c>
      <c r="I55" s="31"/>
      <c r="J55" s="31">
        <f>+SUM(F55:H55)</f>
        <v>53320.407766622673</v>
      </c>
      <c r="K55" s="54"/>
      <c r="M55" s="9"/>
      <c r="N55" s="9"/>
    </row>
    <row r="56" spans="1:14" customFormat="1">
      <c r="A56" s="25">
        <f>+MAX($A$1:A55)+1</f>
        <v>31</v>
      </c>
      <c r="B56" s="45" t="s">
        <v>41</v>
      </c>
      <c r="C56" s="50"/>
      <c r="D56" s="27" t="str">
        <f>"∑ Lines "&amp;$A$52&amp;":"&amp;$A$55&amp;""</f>
        <v>∑ Lines 27:30</v>
      </c>
      <c r="E56" s="50"/>
      <c r="F56" s="47">
        <f>+IF(F53&lt;&gt;0,SUM(F52:F55)," ")</f>
        <v>977167.38445895584</v>
      </c>
      <c r="G56" s="47">
        <f t="shared" ref="G56:H56" si="6">+IF(G53&lt;&gt;0,SUM(G52:G55)," ")</f>
        <v>5184925.8212422747</v>
      </c>
      <c r="H56" s="47">
        <f t="shared" si="6"/>
        <v>9057297.1030132324</v>
      </c>
      <c r="I56" s="40"/>
      <c r="J56" s="47">
        <f>+SUM(J52:J55)</f>
        <v>9057297.1030132324</v>
      </c>
      <c r="K56" s="54"/>
      <c r="M56" s="9"/>
      <c r="N56" s="9"/>
    </row>
    <row r="57" spans="1:14" customFormat="1">
      <c r="A57" s="56"/>
      <c r="B57" s="19"/>
      <c r="C57" s="50"/>
      <c r="D57" s="4"/>
      <c r="E57" s="50"/>
      <c r="F57" s="57"/>
      <c r="G57" s="57"/>
      <c r="H57" s="57"/>
      <c r="I57" s="31"/>
      <c r="J57" s="58"/>
      <c r="K57" s="58"/>
      <c r="M57" s="9"/>
      <c r="N57" s="9"/>
    </row>
    <row r="58" spans="1:14" customFormat="1">
      <c r="A58" s="25">
        <f>MAX(A$11:A57)+1</f>
        <v>32</v>
      </c>
      <c r="B58" s="55" t="s">
        <v>42</v>
      </c>
      <c r="C58" s="50"/>
      <c r="D58" s="27" t="str">
        <f>"Line "&amp;$A$56&amp;" * 1.005^5 - Line "&amp;$A$56</f>
        <v>Line 31 * 1.005^5 - Line 31</v>
      </c>
      <c r="E58" s="50"/>
      <c r="F58" s="57"/>
      <c r="G58" s="57"/>
      <c r="H58" s="57"/>
      <c r="I58" s="31"/>
      <c r="J58" s="58">
        <f>+J56*1.005^5-J56</f>
        <v>228708.10180481337</v>
      </c>
      <c r="K58" s="58"/>
      <c r="M58" s="9"/>
      <c r="N58" s="9"/>
    </row>
    <row r="59" spans="1:14" customFormat="1">
      <c r="A59" s="56"/>
      <c r="B59" s="59"/>
      <c r="C59" s="50"/>
      <c r="D59" s="4"/>
      <c r="E59" s="50"/>
      <c r="F59" s="57"/>
      <c r="G59" s="57"/>
      <c r="H59" s="57"/>
      <c r="I59" s="31"/>
      <c r="J59" s="58"/>
      <c r="K59" s="58"/>
      <c r="M59" s="9"/>
      <c r="N59" s="9"/>
    </row>
    <row r="60" spans="1:14" customFormat="1">
      <c r="A60" s="25">
        <f>MAX(A$11:A59)+1</f>
        <v>33</v>
      </c>
      <c r="B60" s="55" t="s">
        <v>43</v>
      </c>
      <c r="C60" s="50"/>
      <c r="D60" s="4" t="s">
        <v>44</v>
      </c>
      <c r="E60" s="50"/>
      <c r="F60" s="57"/>
      <c r="G60" s="57"/>
      <c r="H60" s="57"/>
      <c r="I60" s="31"/>
      <c r="J60" s="58">
        <v>20000000</v>
      </c>
      <c r="K60" s="58"/>
      <c r="M60" s="9"/>
      <c r="N60" s="9"/>
    </row>
    <row r="61" spans="1:14" customFormat="1">
      <c r="A61" s="56"/>
      <c r="B61" s="59"/>
      <c r="C61" s="50"/>
      <c r="D61" s="4"/>
      <c r="E61" s="50"/>
      <c r="F61" s="57"/>
      <c r="G61" s="57"/>
      <c r="H61" s="57"/>
      <c r="I61" s="31"/>
      <c r="J61" s="58"/>
      <c r="K61" s="58"/>
      <c r="M61" s="9"/>
      <c r="N61" s="9"/>
    </row>
    <row r="62" spans="1:14" customFormat="1" ht="13.5" thickBot="1">
      <c r="A62" s="25">
        <f>MAX(A$11:A59)+1</f>
        <v>33</v>
      </c>
      <c r="B62" s="59" t="s">
        <v>45</v>
      </c>
      <c r="C62" s="59"/>
      <c r="D62" s="27" t="str">
        <f>"∑ Lines "&amp;$A$56&amp;":"&amp;$A$60&amp;""</f>
        <v>∑ Lines 31:33</v>
      </c>
      <c r="E62" s="59"/>
      <c r="F62" s="57"/>
      <c r="G62" s="57"/>
      <c r="H62" s="57"/>
      <c r="I62" s="31"/>
      <c r="J62" s="60">
        <f>+SUM(J56:J60)</f>
        <v>29286005.204818048</v>
      </c>
      <c r="K62" s="58"/>
      <c r="M62" s="9"/>
      <c r="N62" s="9"/>
    </row>
    <row r="63" spans="1:14" customFormat="1" ht="13.5" thickTop="1">
      <c r="A63" s="25"/>
      <c r="B63" s="59"/>
      <c r="C63" s="59"/>
      <c r="D63" s="4"/>
      <c r="E63" s="59"/>
      <c r="F63" s="57"/>
      <c r="G63" s="57"/>
      <c r="H63" s="57"/>
      <c r="I63" s="31"/>
      <c r="J63" s="58"/>
      <c r="K63" s="58"/>
      <c r="M63" s="9"/>
      <c r="N63" s="9"/>
    </row>
    <row r="64" spans="1:14" customFormat="1">
      <c r="A64" s="3" t="s">
        <v>46</v>
      </c>
      <c r="B64" s="8"/>
      <c r="C64" s="59"/>
      <c r="D64" s="4"/>
      <c r="E64" s="59"/>
      <c r="F64" s="57"/>
      <c r="G64" s="57"/>
      <c r="H64" s="57"/>
      <c r="I64" s="31"/>
      <c r="J64" s="58"/>
      <c r="K64" s="58"/>
      <c r="M64" s="9"/>
      <c r="N64" s="9"/>
    </row>
    <row r="65" spans="1:14" customFormat="1">
      <c r="A65" s="3">
        <v>1</v>
      </c>
      <c r="B65" s="2" t="s">
        <v>47</v>
      </c>
      <c r="C65" s="59"/>
      <c r="D65" s="4"/>
      <c r="E65" s="59"/>
      <c r="F65" s="57"/>
      <c r="G65" s="57"/>
      <c r="H65" s="57"/>
      <c r="I65" s="31"/>
      <c r="J65" s="58"/>
      <c r="K65" s="58"/>
      <c r="M65" s="9"/>
      <c r="N65" s="9"/>
    </row>
    <row r="66" spans="1:14" customFormat="1">
      <c r="A66" s="3">
        <v>2</v>
      </c>
      <c r="B66" s="2" t="s">
        <v>48</v>
      </c>
      <c r="C66" s="61"/>
      <c r="D66" s="10"/>
      <c r="E66" s="61"/>
      <c r="F66" s="62"/>
      <c r="G66" s="62"/>
      <c r="H66" s="62"/>
      <c r="I66" s="62"/>
      <c r="J66" s="11"/>
      <c r="K66" s="11"/>
      <c r="M66" s="9"/>
      <c r="N66" s="9"/>
    </row>
    <row r="67" spans="1:14" customFormat="1">
      <c r="A67" s="7"/>
      <c r="B67" s="8"/>
      <c r="C67" s="9"/>
      <c r="D67" s="10"/>
      <c r="E67" s="9"/>
      <c r="F67" s="62"/>
      <c r="G67" s="62"/>
      <c r="H67" s="62"/>
      <c r="I67" s="9"/>
      <c r="J67" s="63"/>
      <c r="K67" s="63"/>
      <c r="M67" s="9"/>
      <c r="N67" s="9"/>
    </row>
    <row r="68" spans="1:14" customFormat="1">
      <c r="A68" s="7"/>
      <c r="B68" s="8"/>
      <c r="C68" s="9"/>
      <c r="D68" s="10"/>
      <c r="E68" s="9"/>
      <c r="F68" s="9"/>
      <c r="G68" s="9"/>
      <c r="H68" s="9"/>
      <c r="I68" s="9"/>
      <c r="J68" s="63"/>
      <c r="K68" s="63"/>
      <c r="M68" s="9"/>
      <c r="N68" s="9"/>
    </row>
    <row r="69" spans="1:14" customFormat="1">
      <c r="A69" s="7"/>
      <c r="B69" s="8"/>
      <c r="C69" s="9"/>
      <c r="D69" s="10"/>
      <c r="E69" s="9"/>
      <c r="F69" s="62"/>
      <c r="G69" s="62"/>
      <c r="H69" s="62"/>
      <c r="I69" s="9"/>
      <c r="J69" s="63"/>
      <c r="K69" s="63"/>
      <c r="M69" s="9"/>
      <c r="N69" s="9"/>
    </row>
    <row r="70" spans="1:14" customFormat="1">
      <c r="A70" s="7"/>
      <c r="B70" s="8"/>
      <c r="C70" s="9"/>
      <c r="D70" s="10"/>
      <c r="E70" s="9"/>
      <c r="F70" s="9"/>
      <c r="G70" s="9"/>
      <c r="H70" s="9"/>
      <c r="I70" s="9"/>
      <c r="J70" s="63"/>
      <c r="K70" s="63"/>
      <c r="M70" s="9"/>
      <c r="N70" s="9"/>
    </row>
    <row r="71" spans="1:14" customFormat="1">
      <c r="A71" s="7"/>
      <c r="B71" s="8"/>
      <c r="C71" s="9"/>
      <c r="D71" s="10"/>
      <c r="E71" s="9"/>
      <c r="F71" s="11"/>
      <c r="G71" s="11"/>
      <c r="H71" s="11"/>
      <c r="I71" s="9"/>
      <c r="J71" s="63"/>
      <c r="K71" s="63"/>
      <c r="M71" s="9"/>
      <c r="N71" s="9"/>
    </row>
    <row r="72" spans="1:14" customFormat="1">
      <c r="A72" s="7"/>
      <c r="B72" s="8"/>
      <c r="C72" s="9"/>
      <c r="D72" s="10"/>
      <c r="E72" s="9"/>
      <c r="F72" s="11"/>
      <c r="G72" s="11"/>
      <c r="H72" s="11"/>
      <c r="I72" s="9"/>
      <c r="J72" s="63"/>
      <c r="K72" s="63"/>
      <c r="M72" s="9"/>
      <c r="N72" s="9"/>
    </row>
    <row r="73" spans="1:14" customFormat="1">
      <c r="A73" s="7"/>
      <c r="B73" s="8"/>
      <c r="C73" s="9"/>
      <c r="D73" s="10"/>
      <c r="E73" s="9"/>
      <c r="F73" s="9"/>
      <c r="G73" s="9"/>
      <c r="H73" s="9"/>
      <c r="I73" s="9"/>
      <c r="J73" s="63"/>
      <c r="K73" s="63"/>
      <c r="M73" s="9"/>
      <c r="N73" s="9"/>
    </row>
    <row r="74" spans="1:14" customFormat="1">
      <c r="A74" s="7"/>
      <c r="B74" s="8"/>
      <c r="C74" s="9"/>
      <c r="D74" s="10"/>
      <c r="E74" s="9"/>
      <c r="F74" s="11"/>
      <c r="G74" s="11"/>
      <c r="H74" s="11"/>
      <c r="I74" s="9"/>
      <c r="J74" s="63"/>
      <c r="K74" s="63"/>
      <c r="M74" s="9"/>
      <c r="N74" s="9"/>
    </row>
    <row r="75" spans="1:14" customFormat="1">
      <c r="A75" s="7"/>
      <c r="B75" s="8"/>
      <c r="C75" s="9"/>
      <c r="D75" s="10"/>
      <c r="E75" s="9"/>
      <c r="F75" s="9"/>
      <c r="G75" s="9"/>
      <c r="H75" s="9"/>
      <c r="I75" s="9"/>
      <c r="J75" s="63"/>
      <c r="K75" s="63"/>
      <c r="M75" s="9"/>
      <c r="N75" s="9"/>
    </row>
  </sheetData>
  <pageMargins left="0.25" right="0.25" top="0.75" bottom="0.75" header="0.3" footer="0.3"/>
  <pageSetup scale="7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1</vt:lpstr>
      <vt:lpstr>'Exhibit 1'!Print_Titles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Bradley Mullins</dc:creator>
  <cp:lastModifiedBy>Melissa Robyn Paschal</cp:lastModifiedBy>
  <cp:lastPrinted>2012-03-13T16:38:17Z</cp:lastPrinted>
  <dcterms:created xsi:type="dcterms:W3CDTF">2012-03-08T21:13:11Z</dcterms:created>
  <dcterms:modified xsi:type="dcterms:W3CDTF">2012-03-15T20:36:12Z</dcterms:modified>
</cp:coreProperties>
</file>