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0" windowWidth="14880" windowHeight="9285" tabRatio="675"/>
  </bookViews>
  <sheets>
    <sheet name="Exhibit-RMP(WRG-1R)" sheetId="3" r:id="rId1"/>
    <sheet name="Exhibit-RMP(WRG-2R)" sheetId="2" r:id="rId2"/>
    <sheet name="RateSpread" sheetId="1" r:id="rId3"/>
    <sheet name="Stipulation" sheetId="12" r:id="rId4"/>
    <sheet name="EBARev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 localSheetId="3">[1]Jan!#REF!</definedName>
    <definedName name="\0">[1]Jan!#REF!</definedName>
    <definedName name="\A" localSheetId="3">#REF!</definedName>
    <definedName name="\A">#REF!</definedName>
    <definedName name="\B" localSheetId="3">#REF!</definedName>
    <definedName name="\B">#REF!</definedName>
    <definedName name="\BACK1" localSheetId="3">#REF!</definedName>
    <definedName name="\BACK1">#REF!</definedName>
    <definedName name="\BLOCK" localSheetId="3">#REF!</definedName>
    <definedName name="\BLOCK">#REF!</definedName>
    <definedName name="\BLOCKT" localSheetId="3">#REF!</definedName>
    <definedName name="\BLOCKT">#REF!</definedName>
    <definedName name="\C" localSheetId="3">#REF!</definedName>
    <definedName name="\C">#REF!</definedName>
    <definedName name="\COMP" localSheetId="3">#REF!</definedName>
    <definedName name="\COMP">#REF!</definedName>
    <definedName name="\COMPT" localSheetId="3">#REF!</definedName>
    <definedName name="\COMPT">#REF!</definedName>
    <definedName name="\E" localSheetId="3">#REF!</definedName>
    <definedName name="\E">#REF!</definedName>
    <definedName name="\G" localSheetId="3">#REF!</definedName>
    <definedName name="\G">#REF!</definedName>
    <definedName name="\I" localSheetId="3">#REF!</definedName>
    <definedName name="\I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P" localSheetId="3">#REF!</definedName>
    <definedName name="\P">#REF!</definedName>
    <definedName name="\Q" localSheetId="3">[2]Actual!#REF!</definedName>
    <definedName name="\Q">[2]Actual!#REF!</definedName>
    <definedName name="\R" localSheetId="3">#REF!</definedName>
    <definedName name="\R">#REF!</definedName>
    <definedName name="\S" localSheetId="3">#REF!</definedName>
    <definedName name="\S">#REF!</definedName>
    <definedName name="\TABLE1" localSheetId="3">#REF!</definedName>
    <definedName name="\TABLE1">#REF!</definedName>
    <definedName name="\TABLE2" localSheetId="3">#REF!</definedName>
    <definedName name="\TABLE2">#REF!</definedName>
    <definedName name="\TABLEA" localSheetId="3">#REF!</definedName>
    <definedName name="\TABLEA">#REF!</definedName>
    <definedName name="\TBL1" localSheetId="3">#REF!</definedName>
    <definedName name="\TBL1">#REF!</definedName>
    <definedName name="\TBL2" localSheetId="3">#REF!</definedName>
    <definedName name="\TBL2">#REF!</definedName>
    <definedName name="\TBL3" localSheetId="3">#REF!</definedName>
    <definedName name="\TBL3">#REF!</definedName>
    <definedName name="\TBL4" localSheetId="3">#REF!</definedName>
    <definedName name="\TBL4">#REF!</definedName>
    <definedName name="\TBL5" localSheetId="3">#REF!</definedName>
    <definedName name="\TBL5">#REF!</definedName>
    <definedName name="\W" localSheetId="3">#REF!</definedName>
    <definedName name="\W">#REF!</definedName>
    <definedName name="\WORK1" localSheetId="3">#REF!</definedName>
    <definedName name="\WORK1">#REF!</definedName>
    <definedName name="\X" localSheetId="3">#REF!</definedName>
    <definedName name="\X">#REF!</definedName>
    <definedName name="\Z" localSheetId="3">#REF!</definedName>
    <definedName name="\Z">#REF!</definedName>
    <definedName name="__123Graph_A" localSheetId="1" hidden="1">'Exhibit-RMP(WRG-2R)'!#REF!</definedName>
    <definedName name="__123Graph_A" localSheetId="3" hidden="1">[3]Inputs!#REF!</definedName>
    <definedName name="__123Graph_A" hidden="1">[3]Inputs!#REF!</definedName>
    <definedName name="__123Graph_AGRAPH1" localSheetId="1" hidden="1">'Exhibit-RMP(WRG-2R)'!#REF!</definedName>
    <definedName name="__123Graph_B" localSheetId="1" hidden="1">'Exhibit-RMP(WRG-2R)'!#REF!</definedName>
    <definedName name="__123Graph_B" localSheetId="3" hidden="1">[3]Inputs!#REF!</definedName>
    <definedName name="__123Graph_B" hidden="1">[3]Inputs!#REF!</definedName>
    <definedName name="__123Graph_C" localSheetId="1" hidden="1">'Exhibit-RMP(WRG-2R)'!#REF!</definedName>
    <definedName name="__123Graph_D" localSheetId="1" hidden="1">'Exhibit-RMP(WRG-2R)'!#REF!</definedName>
    <definedName name="__123Graph_D" localSheetId="3" hidden="1">[3]Inputs!#REF!</definedName>
    <definedName name="__123Graph_D" hidden="1">[3]Inputs!#REF!</definedName>
    <definedName name="__123Graph_E" localSheetId="1" hidden="1">'Exhibit-RMP(WRG-2R)'!#REF!</definedName>
    <definedName name="__123Graph_F" localSheetId="1" hidden="1">'Exhibit-RMP(WRG-2R)'!$E$64:$E$73</definedName>
    <definedName name="__MEN2" localSheetId="3">[1]Jan!#REF!</definedName>
    <definedName name="__MEN2">[1]Jan!#REF!</definedName>
    <definedName name="__MEN3" localSheetId="3">[1]Jan!#REF!</definedName>
    <definedName name="__MEN3">[1]Jan!#REF!</definedName>
    <definedName name="__TOP1" localSheetId="3">[1]Jan!#REF!</definedName>
    <definedName name="__TOP1">[1]Jan!#REF!</definedName>
    <definedName name="_3Price_Ta" localSheetId="3">#REF!</definedName>
    <definedName name="_3Price_Ta">#REF!</definedName>
    <definedName name="_B" localSheetId="3">#REF!</definedName>
    <definedName name="_B">#REF!</definedName>
    <definedName name="_BLOCK" localSheetId="3">#REF!</definedName>
    <definedName name="_BLOCK">#REF!</definedName>
    <definedName name="_BLOCKT" localSheetId="3">#REF!</definedName>
    <definedName name="_BLOCKT">#REF!</definedName>
    <definedName name="_COMP" localSheetId="3">#REF!</definedName>
    <definedName name="_COMP">#REF!</definedName>
    <definedName name="_COMPR" localSheetId="3">#REF!</definedName>
    <definedName name="_COMPR">#REF!</definedName>
    <definedName name="_COMPT" localSheetId="3">#REF!</definedName>
    <definedName name="_COMPT">#REF!</definedName>
    <definedName name="_Dist_Values" localSheetId="1" hidden="1">'Exhibit-RMP(WRG-2R)'!#REF!</definedName>
    <definedName name="_Fill" localSheetId="1" hidden="1">'Exhibit-RMP(WRG-2R)'!#REF!</definedName>
    <definedName name="_Fill" localSheetId="3" hidden="1">#REF!</definedName>
    <definedName name="_Fill" hidden="1">#REF!</definedName>
    <definedName name="_xlnm._FilterDatabase" localSheetId="1" hidden="1">'Exhibit-RMP(WRG-2R)'!$G$1:$G$490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MEN2" localSheetId="3">[1]Jan!#REF!</definedName>
    <definedName name="_MEN2">[1]Jan!#REF!</definedName>
    <definedName name="_MEN3" localSheetId="3">[1]Jan!#REF!</definedName>
    <definedName name="_MEN3">[1]Jan!#REF!</definedName>
    <definedName name="_Order1" localSheetId="0" hidden="1">255</definedName>
    <definedName name="_Order1" localSheetId="2" hidden="1">255</definedName>
    <definedName name="_Order1" localSheetId="3" hidden="1">0</definedName>
    <definedName name="_Order1" hidden="1">255</definedName>
    <definedName name="_Order2" localSheetId="4" hidden="1">0</definedName>
    <definedName name="_Order2" localSheetId="0" hidden="1">255</definedName>
    <definedName name="_Order2" localSheetId="2" hidden="1">255</definedName>
    <definedName name="_Order2" localSheetId="3" hidden="1">0</definedName>
    <definedName name="_Order2" hidden="1">255</definedName>
    <definedName name="_P" localSheetId="3">#REF!</definedName>
    <definedName name="_P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PL" localSheetId="3">#REF!</definedName>
    <definedName name="_SPL">#REF!</definedName>
    <definedName name="_TOP1" localSheetId="3">[1]Jan!#REF!</definedName>
    <definedName name="_TOP1">[1]Jan!#REF!</definedName>
    <definedName name="a" localSheetId="3" hidden="1">'[3]DSM Output'!$J$21:$J$23</definedName>
    <definedName name="a" hidden="1">#REF!</definedName>
    <definedName name="A_36" localSheetId="3">#REF!</definedName>
    <definedName name="A_36">#REF!</definedName>
    <definedName name="ABSTRACT" localSheetId="3">#REF!</definedName>
    <definedName name="ABSTRACT">#REF!</definedName>
    <definedName name="Acct108D_S">'[4]Func Study'!$H$2448</definedName>
    <definedName name="Acct108D00S">'[4]Func Study'!$H$2440</definedName>
    <definedName name="Acct108DSS">'[4]Func Study'!$H$2444</definedName>
    <definedName name="Acct151SE" localSheetId="3">'[4]Func Study'!#REF!</definedName>
    <definedName name="Acct151SE">'[4]Func Study'!#REF!</definedName>
    <definedName name="Acct228.42TROJD" localSheetId="3">'[5]Func Study'!#REF!</definedName>
    <definedName name="Acct228.42TROJD">[6]FuncStudy!$F$1867</definedName>
    <definedName name="ACCT2281">'[4]Func Study'!$H$2216</definedName>
    <definedName name="Acct2282">'[4]Func Study'!$H$2220</definedName>
    <definedName name="Acct2283">'[4]Func Study'!$H$2224</definedName>
    <definedName name="Acct2283S">'[4]Func Study'!$H$2228</definedName>
    <definedName name="Acct22842">'[4]Func Study'!$H$2237</definedName>
    <definedName name="Acct22842TROJD" localSheetId="3">'[5]Func Study'!#REF!</definedName>
    <definedName name="Acct22842TROJD">'[5]Func Study'!#REF!</definedName>
    <definedName name="Acct228SO">'[4]Func Study'!$H$2219</definedName>
    <definedName name="ACCT25398">'[4]Func Study'!$H$2249</definedName>
    <definedName name="Acct25399">'[4]Func Study'!$H$2256</definedName>
    <definedName name="Acct254">'[4]Func Study'!$H$2233</definedName>
    <definedName name="Acct282DITBAL">[6]FuncStudy!$F$1912</definedName>
    <definedName name="Acct350">'[4]Func Study'!$H$1660</definedName>
    <definedName name="Acct352">'[4]Func Study'!$H$1667</definedName>
    <definedName name="Acct353">'[4]Func Study'!$H$1673</definedName>
    <definedName name="Acct354">'[4]Func Study'!$H$1679</definedName>
    <definedName name="Acct355">'[4]Func Study'!$H$1685</definedName>
    <definedName name="Acct356">'[4]Func Study'!$H$1691</definedName>
    <definedName name="Acct357">'[4]Func Study'!$H$1697</definedName>
    <definedName name="Acct358">'[4]Func Study'!$H$1703</definedName>
    <definedName name="Acct359">'[4]Func Study'!$H$1709</definedName>
    <definedName name="Acct360">'[4]Func Study'!$H$1729</definedName>
    <definedName name="Acct361">'[4]Func Study'!$H$1735</definedName>
    <definedName name="Acct362">'[4]Func Study'!$H$1741</definedName>
    <definedName name="Acct364">'[4]Func Study'!$H$1748</definedName>
    <definedName name="Acct365">'[4]Func Study'!$H$1755</definedName>
    <definedName name="Acct366">'[4]Func Study'!$H$1762</definedName>
    <definedName name="Acct367">'[4]Func Study'!$H$1769</definedName>
    <definedName name="Acct368">'[4]Func Study'!$H$1775</definedName>
    <definedName name="Acct369">'[4]Func Study'!$H$1782</definedName>
    <definedName name="Acct370">'[4]Func Study'!$H$1793</definedName>
    <definedName name="Acct371">'[4]Func Study'!$H$1800</definedName>
    <definedName name="Acct372">'[4]Func Study'!$H$1807</definedName>
    <definedName name="Acct372A">'[4]Func Study'!$H$1806</definedName>
    <definedName name="Acct372DP">'[4]Func Study'!$H$1804</definedName>
    <definedName name="Acct372DS">'[4]Func Study'!$H$1805</definedName>
    <definedName name="Acct373">'[4]Func Study'!$H$1813</definedName>
    <definedName name="Acct403HPSG" localSheetId="3">'[4]Func Study'!#REF!</definedName>
    <definedName name="Acct403HPSG">'[4]Func Study'!#REF!</definedName>
    <definedName name="Acct444S">'[4]Func Study'!$H$264</definedName>
    <definedName name="Acct447DGU" localSheetId="3">'[5]Func Study'!#REF!</definedName>
    <definedName name="Acct447DGU">'[5]Func Study'!#REF!</definedName>
    <definedName name="Acct448S">'[4]Func Study'!$H$273</definedName>
    <definedName name="Acct450S">'[4]Func Study'!$H$297</definedName>
    <definedName name="Acct451S">'[4]Func Study'!$H$302</definedName>
    <definedName name="Acct454S">'[4]Func Study'!$H$312</definedName>
    <definedName name="Acct456S">'[4]Func Study'!$H$318</definedName>
    <definedName name="Acct502DNPPSU" localSheetId="3">'[4]Func Study'!#REF!</definedName>
    <definedName name="Acct502DNPPSU">'[4]Func Study'!#REF!</definedName>
    <definedName name="Acct580">'[4]Func Study'!$H$748</definedName>
    <definedName name="Acct581">'[4]Func Study'!$H$753</definedName>
    <definedName name="Acct582">'[4]Func Study'!$H$758</definedName>
    <definedName name="Acct583">'[4]Func Study'!$H$763</definedName>
    <definedName name="Acct584">'[4]Func Study'!$H$768</definedName>
    <definedName name="Acct585">'[4]Func Study'!$H$773</definedName>
    <definedName name="Acct586">'[4]Func Study'!$H$778</definedName>
    <definedName name="Acct587">'[4]Func Study'!$H$783</definedName>
    <definedName name="Acct588">'[4]Func Study'!$H$788</definedName>
    <definedName name="Acct589">'[4]Func Study'!$H$793</definedName>
    <definedName name="Acct590">'[4]Func Study'!$H$798</definedName>
    <definedName name="Acct591">'[4]Func Study'!$H$803</definedName>
    <definedName name="Acct592">'[4]Func Study'!$H$808</definedName>
    <definedName name="Acct593">'[4]Func Study'!$H$813</definedName>
    <definedName name="Acct594">'[4]Func Study'!$H$818</definedName>
    <definedName name="Acct595">'[4]Func Study'!$H$823</definedName>
    <definedName name="Acct596">'[4]Func Study'!$H$833</definedName>
    <definedName name="Acct597">'[4]Func Study'!$H$838</definedName>
    <definedName name="Acct598">'[4]Func Study'!$H$843</definedName>
    <definedName name="Acct928RE">'[4]Func Study'!$H$983</definedName>
    <definedName name="AcctAGA">'[4]Func Study'!$H$291</definedName>
    <definedName name="AcctFIT">'[4]Func Study'!$H$1422</definedName>
    <definedName name="AcctTable">[7]Variables!$AK$42:$AK$396</definedName>
    <definedName name="AcctTS0">'[4]Func Study'!$H$1717</definedName>
    <definedName name="ActualROE">[6]FuncStudy!$E$61</definedName>
    <definedName name="actualror" localSheetId="3">[8]WorkArea!$F$86</definedName>
    <definedName name="ActualROR">'[9]G+T+D+R+M'!$H$61</definedName>
    <definedName name="ACYear">[10]Variables!$C$13</definedName>
    <definedName name="Adjs2avg">[11]Inputs!$L$255:'[11]Inputs'!$T$505</definedName>
    <definedName name="ALL" localSheetId="3">#REF!</definedName>
    <definedName name="ALL">#REF!</definedName>
    <definedName name="all_months" localSheetId="3">#REF!</definedName>
    <definedName name="all_months">#REF!</definedName>
    <definedName name="APR" localSheetId="3">#REF!</definedName>
    <definedName name="APR">#REF!</definedName>
    <definedName name="APRT" localSheetId="3">#REF!</definedName>
    <definedName name="APRT">#REF!</definedName>
    <definedName name="AT_48" localSheetId="3">#REF!</definedName>
    <definedName name="AT_48">#REF!</definedName>
    <definedName name="AUG" localSheetId="3">#REF!</definedName>
    <definedName name="AUG">#REF!</definedName>
    <definedName name="AUGT" localSheetId="3">#REF!</definedName>
    <definedName name="AUGT">#REF!</definedName>
    <definedName name="AvgFactors">[7]Factors!$B$3:$P$99</definedName>
    <definedName name="AVOIDED_COSTS">'[12]Avoided Costs'!$A$3:$G$38</definedName>
    <definedName name="AvoidedCosts">'[10]Avoided Costs'!$A$3:$G$35</definedName>
    <definedName name="BACK1" localSheetId="3">#REF!</definedName>
    <definedName name="BACK1">#REF!</definedName>
    <definedName name="BACK2" localSheetId="3">#REF!</definedName>
    <definedName name="BACK2">#REF!</definedName>
    <definedName name="BACK3" localSheetId="3">#REF!</definedName>
    <definedName name="BACK3">#REF!</definedName>
    <definedName name="BACKUP1" localSheetId="3">#REF!</definedName>
    <definedName name="BACKUP1">#REF!</definedName>
    <definedName name="Baseline" localSheetId="3">#REF!</definedName>
    <definedName name="Baseline">#REF!</definedName>
    <definedName name="BLOCK" localSheetId="3">#REF!</definedName>
    <definedName name="BLOCK">#REF!</definedName>
    <definedName name="BLOCKTOP" localSheetId="3">#REF!</definedName>
    <definedName name="BLOCKTOP">#REF!</definedName>
    <definedName name="BOOKADJ" localSheetId="3">#REF!</definedName>
    <definedName name="BOOKADJ">#REF!</definedName>
    <definedName name="cap">[13]Readings!$B$2</definedName>
    <definedName name="Capacity" localSheetId="3">#REF!</definedName>
    <definedName name="Capacity">#REF!</definedName>
    <definedName name="Check" localSheetId="3">#REF!</definedName>
    <definedName name="Check">#REF!</definedName>
    <definedName name="Classification">'[4]Func Study'!$AB$251</definedName>
    <definedName name="COMADJ" localSheetId="3">#REF!</definedName>
    <definedName name="COMADJ">#REF!</definedName>
    <definedName name="Comn">[9]Inputs!$K$21</definedName>
    <definedName name="COMP" localSheetId="3">#REF!</definedName>
    <definedName name="COMP">#REF!</definedName>
    <definedName name="COMPACTUAL" localSheetId="3">#REF!</definedName>
    <definedName name="COMPACTUAL">#REF!</definedName>
    <definedName name="COMPT" localSheetId="3">#REF!</definedName>
    <definedName name="COMPT">#REF!</definedName>
    <definedName name="COMPWEATHER" localSheetId="3">#REF!</definedName>
    <definedName name="COMPWEATHER">#REF!</definedName>
    <definedName name="COSFacVal">[4]Inputs!$W$11</definedName>
    <definedName name="Cust_Exp_Acct_903" localSheetId="3">#REF!</definedName>
    <definedName name="Cust_Exp_Acct_903">#REF!</definedName>
    <definedName name="_xlnm.Database" localSheetId="3">[14]Invoice!#REF!</definedName>
    <definedName name="_xlnm.Database">[14]Invoice!#REF!</definedName>
    <definedName name="DATE" localSheetId="3">[15]Jan!#REF!</definedName>
    <definedName name="DATE">[15]Jan!#REF!</definedName>
    <definedName name="Debt_">[9]Inputs!$K$19</definedName>
    <definedName name="DEC" localSheetId="3">#REF!</definedName>
    <definedName name="DEC">#REF!</definedName>
    <definedName name="DECT" localSheetId="3">#REF!</definedName>
    <definedName name="DECT">#REF!</definedName>
    <definedName name="Demand">[5]Inputs!$D$8</definedName>
    <definedName name="Demand2">[4]Inputs!$D$10</definedName>
    <definedName name="Dis">'[4]Func Study'!$AB$250</definedName>
    <definedName name="DisFac">'[4]Func Dist Factor Table'!$A$11:$G$25</definedName>
    <definedName name="Dist_factor" localSheetId="3">#REF!</definedName>
    <definedName name="Dist_factor">#REF!</definedName>
    <definedName name="DistSub_Year1">[10]Variables!$C$23</definedName>
    <definedName name="DistSub_Year2">[10]Variables!$D$23</definedName>
    <definedName name="DISTSUB_YR1">[12]Variables!$C$23</definedName>
    <definedName name="DISTSUB_YR2">[12]Variables!$D$23</definedName>
    <definedName name="DUDE" localSheetId="3" hidden="1">#REF!</definedName>
    <definedName name="DUDE" hidden="1">#REF!</definedName>
    <definedName name="energy">[13]Readings!$B$3</definedName>
    <definedName name="Engy">[5]Inputs!$D$9</definedName>
    <definedName name="EscalationRegion">[10]Variables!$C$12</definedName>
    <definedName name="f101top" localSheetId="3">#REF!</definedName>
    <definedName name="f101top">#REF!</definedName>
    <definedName name="f104top" localSheetId="3">#REF!</definedName>
    <definedName name="f104top">#REF!</definedName>
    <definedName name="f138top" localSheetId="3">#REF!</definedName>
    <definedName name="f138top">#REF!</definedName>
    <definedName name="f140top" localSheetId="3">#REF!</definedName>
    <definedName name="f140top">#REF!</definedName>
    <definedName name="Factorck">'[4]COS Factor Table'!$S$15:$S$145</definedName>
    <definedName name="Factors3" localSheetId="3">#REF!</definedName>
    <definedName name="Factors3">#REF!</definedName>
    <definedName name="FactorType">[7]Variables!$AK$2:$AL$12</definedName>
    <definedName name="FACTP" localSheetId="3">#REF!</definedName>
    <definedName name="FACTP">#REF!</definedName>
    <definedName name="FactSum">'[4]COS Factor Table'!$A$14:$S$146</definedName>
    <definedName name="FEB" localSheetId="3">#REF!</definedName>
    <definedName name="FEB">#REF!</definedName>
    <definedName name="FEBT" localSheetId="3">#REF!</definedName>
    <definedName name="FEBT">#REF!</definedName>
    <definedName name="FIX" localSheetId="3">#REF!</definedName>
    <definedName name="FIX">#REF!</definedName>
    <definedName name="FranchiseTax">[11]Variables!$D$26</definedName>
    <definedName name="Func">'[4]Func Factor Table'!$A$10:$H$78</definedName>
    <definedName name="Func_Ftrs" localSheetId="3">#REF!</definedName>
    <definedName name="Func_Ftrs">#REF!</definedName>
    <definedName name="Func_GTD_Percents" localSheetId="3">#REF!</definedName>
    <definedName name="Func_GTD_Percents">#REF!</definedName>
    <definedName name="Func_MC" localSheetId="3">#REF!</definedName>
    <definedName name="Func_MC">#REF!</definedName>
    <definedName name="Func_Percents" localSheetId="3">#REF!</definedName>
    <definedName name="Func_Percents">#REF!</definedName>
    <definedName name="Func_Rev_Req1" localSheetId="3">#REF!</definedName>
    <definedName name="Func_Rev_Req1">#REF!</definedName>
    <definedName name="Func_Rev_Req2" localSheetId="3">#REF!</definedName>
    <definedName name="Func_Rev_Req2">#REF!</definedName>
    <definedName name="Func_Revenue" localSheetId="3">#REF!</definedName>
    <definedName name="Func_Revenue">#REF!</definedName>
    <definedName name="Function">'[4]Func Study'!$AB$250</definedName>
    <definedName name="GREATER10MW" localSheetId="3">#REF!</definedName>
    <definedName name="GREATER10MW">#REF!</definedName>
    <definedName name="GTD_Percents" localSheetId="3">#REF!</definedName>
    <definedName name="GTD_Percents">#REF!</definedName>
    <definedName name="HEIGHT" localSheetId="3">#REF!</definedName>
    <definedName name="HEIGHT">#REF!</definedName>
    <definedName name="ID_0303_RVN_data" localSheetId="3">#REF!</definedName>
    <definedName name="ID_0303_RVN_data">#REF!</definedName>
    <definedName name="IDcontractsRVN" localSheetId="3">#REF!</definedName>
    <definedName name="IDcontractsRVN">#REF!</definedName>
    <definedName name="IncomeTaxOptVal">[9]Inputs!$Y$11</definedName>
    <definedName name="INDADJ" localSheetId="3">#REF!</definedName>
    <definedName name="INDADJ">#REF!</definedName>
    <definedName name="INPUT" localSheetId="3">[16]Summary!#REF!</definedName>
    <definedName name="INPUT">[16]Summary!#REF!</definedName>
    <definedName name="Instructions" localSheetId="3">#REF!</definedName>
    <definedName name="Instructions">#REF!</definedName>
    <definedName name="IRR" localSheetId="3">#REF!</definedName>
    <definedName name="IRR">#REF!</definedName>
    <definedName name="IRRIGATION" localSheetId="3">#REF!</definedName>
    <definedName name="IRRIGATION">#REF!</definedName>
    <definedName name="JAN" localSheetId="3">#REF!</definedName>
    <definedName name="JAN">#REF!</definedName>
    <definedName name="JANT" localSheetId="3">#REF!</definedName>
    <definedName name="JANT">#REF!</definedName>
    <definedName name="JUL" localSheetId="3">#REF!</definedName>
    <definedName name="JUL">#REF!</definedName>
    <definedName name="JULT" localSheetId="3">#REF!</definedName>
    <definedName name="JULT">#REF!</definedName>
    <definedName name="JUN" localSheetId="3">#REF!</definedName>
    <definedName name="JU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T" localSheetId="3">#REF!</definedName>
    <definedName name="JUNT">#REF!</definedName>
    <definedName name="Jurisdiction">[7]Variables!$AK$15</definedName>
    <definedName name="JurisNumber">[7]Variables!$AL$15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3">#REF!</definedName>
    <definedName name="LABORMOD">#REF!</definedName>
    <definedName name="LABORROLL" localSheetId="3">#REF!</definedName>
    <definedName name="LABORROLL">#REF!</definedName>
    <definedName name="LIGHT_YR1">[12]Variables!$C$24</definedName>
    <definedName name="LIGHT_YR2">[12]Variables!$D$24</definedName>
    <definedName name="limcount" hidden="1">1</definedName>
    <definedName name="Line_Ext_Credit" localSheetId="3">#REF!</definedName>
    <definedName name="Line_Ext_Credit">#REF!</definedName>
    <definedName name="LinkCos">'[4]JAM Download'!$I$4</definedName>
    <definedName name="LOG" localSheetId="3">[17]Backup!#REF!</definedName>
    <definedName name="LOG">[17]Backup!#REF!</definedName>
    <definedName name="LOSS" localSheetId="3">[17]Backup!#REF!</definedName>
    <definedName name="LOSS">[17]Backup!#REF!</definedName>
    <definedName name="MACTIT" localSheetId="3">#REF!</definedName>
    <definedName name="MACTIT">#REF!</definedName>
    <definedName name="MAR" localSheetId="3">#REF!</definedName>
    <definedName name="MAR">#REF!</definedName>
    <definedName name="MART" localSheetId="3">#REF!</definedName>
    <definedName name="MART">#REF!</definedName>
    <definedName name="MAY" localSheetId="3">#REF!</definedName>
    <definedName name="MAY">#REF!</definedName>
    <definedName name="MAYT" localSheetId="3">#REF!</definedName>
    <definedName name="MAYT">#REF!</definedName>
    <definedName name="MCtoREV" localSheetId="3">#REF!</definedName>
    <definedName name="MCtoREV">#REF!</definedName>
    <definedName name="MEN" localSheetId="3">[1]Jan!#REF!</definedName>
    <definedName name="MEN">[1]Jan!#REF!</definedName>
    <definedName name="Menu_Begin" localSheetId="3">#REF!</definedName>
    <definedName name="Menu_Begin">#REF!</definedName>
    <definedName name="Menu_Caption" localSheetId="3">#REF!</definedName>
    <definedName name="Menu_Caption">#REF!</definedName>
    <definedName name="Menu_Large" localSheetId="3">[18]MacroBuilder!#REF!</definedName>
    <definedName name="Menu_Large">#REF!</definedName>
    <definedName name="Menu_Name" localSheetId="3">#REF!</definedName>
    <definedName name="Menu_Name">#REF!</definedName>
    <definedName name="Menu_OnAction" localSheetId="3">#REF!</definedName>
    <definedName name="Menu_OnAction">#REF!</definedName>
    <definedName name="Menu_Parent" localSheetId="3">#REF!</definedName>
    <definedName name="Menu_Parent">#REF!</definedName>
    <definedName name="Menu_Small" localSheetId="3">[18]MacroBuilder!#REF!</definedName>
    <definedName name="Menu_Small">#REF!</definedName>
    <definedName name="Meter_Year1">[10]Variables!$C$19</definedName>
    <definedName name="Meter_Year2">[10]Variables!$D$19</definedName>
    <definedName name="Method">[5]Inputs!$C$6</definedName>
    <definedName name="MONTH" localSheetId="3">[17]Backup!#REF!</definedName>
    <definedName name="MONTH">[17]Backup!#REF!</definedName>
    <definedName name="monthlist">[19]Table!$R$2:$S$13</definedName>
    <definedName name="monthtotals">'[19]WA SBC'!$D$40:$O$40</definedName>
    <definedName name="MSPAverageInput" localSheetId="3">[20]Inputs!#REF!</definedName>
    <definedName name="MSPAverageInput">[20]Inputs!#REF!</definedName>
    <definedName name="MSPYearEndInput" localSheetId="3">[20]Inputs!#REF!</definedName>
    <definedName name="MSPYearEndInput">[20]Inputs!#REF!</definedName>
    <definedName name="MTKWH" localSheetId="3">#REF!</definedName>
    <definedName name="MTKWH">#REF!</definedName>
    <definedName name="MTR_YR1">[12]Variables!$C$19</definedName>
    <definedName name="MTR_YR2">[12]Variables!$D$19</definedName>
    <definedName name="MTR_YR3">[21]Variables!$E$14</definedName>
    <definedName name="MTREV" localSheetId="3">#REF!</definedName>
    <definedName name="MTREV">#REF!</definedName>
    <definedName name="MULT" localSheetId="3">#REF!</definedName>
    <definedName name="MULT">#REF!</definedName>
    <definedName name="NetToGross">[11]Variables!$D$23</definedName>
    <definedName name="NEWMO1" localSheetId="3">[1]Jan!#REF!</definedName>
    <definedName name="NEWMO1">[1]Jan!#REF!</definedName>
    <definedName name="NEWMO2" localSheetId="3">[1]Jan!#REF!</definedName>
    <definedName name="NEWMO2">[1]Jan!#REF!</definedName>
    <definedName name="NEWMONTH" localSheetId="3">[1]Jan!#REF!</definedName>
    <definedName name="NEWMONTH">[1]Jan!#REF!</definedName>
    <definedName name="NONRES" localSheetId="3">#REF!</definedName>
    <definedName name="NONRES">#REF!</definedName>
    <definedName name="NORMALIZE" localSheetId="3">#REF!</definedName>
    <definedName name="NORMALIZE">#REF!</definedName>
    <definedName name="NOV" localSheetId="3">#REF!</definedName>
    <definedName name="NOV">#REF!</definedName>
    <definedName name="NOVT" localSheetId="3">#REF!</definedName>
    <definedName name="NOVT">#REF!</definedName>
    <definedName name="NUM" localSheetId="3">#REF!</definedName>
    <definedName name="NUM">#REF!</definedName>
    <definedName name="OCT" localSheetId="3">#REF!</definedName>
    <definedName name="OCT">#REF!</definedName>
    <definedName name="OCTT" localSheetId="3">#REF!</definedName>
    <definedName name="OCTT">#REF!</definedName>
    <definedName name="OH">[4]Inputs!$D$24</definedName>
    <definedName name="ONE" localSheetId="3">[1]Jan!#REF!</definedName>
    <definedName name="ONE">[1]Jan!#REF!</definedName>
    <definedName name="OperatingIncome" localSheetId="3">#REF!</definedName>
    <definedName name="OperatingIncome">#REF!</definedName>
    <definedName name="option">'[8]Dist Misc'!$F$120</definedName>
    <definedName name="OR_305_12mo_endg_200203" localSheetId="3">#REF!</definedName>
    <definedName name="OR_305_12mo_endg_200203">#REF!</definedName>
    <definedName name="P" localSheetId="3">#REF!</definedName>
    <definedName name="P">#REF!</definedName>
    <definedName name="page1" localSheetId="3">[16]Summary!#REF!</definedName>
    <definedName name="page1">[16]Summary!#REF!</definedName>
    <definedName name="Page160" localSheetId="3">#REF!</definedName>
    <definedName name="Page160">#REF!</definedName>
    <definedName name="Page161" localSheetId="3">#REF!</definedName>
    <definedName name="Page161">#REF!</definedName>
    <definedName name="Page162" localSheetId="3">#REF!</definedName>
    <definedName name="Page162">#REF!</definedName>
    <definedName name="Page163" localSheetId="3">#REF!</definedName>
    <definedName name="Page163">#REF!</definedName>
    <definedName name="Page164" localSheetId="3">#REF!</definedName>
    <definedName name="Page164">#REF!</definedName>
    <definedName name="Page165" localSheetId="3">#REF!</definedName>
    <definedName name="Page165">#REF!</definedName>
    <definedName name="Page166" localSheetId="3">#REF!</definedName>
    <definedName name="Page166">#REF!</definedName>
    <definedName name="Page167" localSheetId="3">#REF!</definedName>
    <definedName name="Page167">#REF!</definedName>
    <definedName name="Page168" localSheetId="3">#REF!</definedName>
    <definedName name="Page168">#REF!</definedName>
    <definedName name="Page169" localSheetId="3">#REF!</definedName>
    <definedName name="Page169">#REF!</definedName>
    <definedName name="Page170" localSheetId="3">#REF!</definedName>
    <definedName name="Page170">#REF!</definedName>
    <definedName name="Page171" localSheetId="3">#REF!</definedName>
    <definedName name="Page171">#REF!</definedName>
    <definedName name="Page172" localSheetId="3">#REF!</definedName>
    <definedName name="Page172">#REF!</definedName>
    <definedName name="Page173" localSheetId="3">#REF!</definedName>
    <definedName name="Page173">#REF!</definedName>
    <definedName name="Page174" localSheetId="3">#REF!</definedName>
    <definedName name="Page174">#REF!</definedName>
    <definedName name="Page175" localSheetId="3">#REF!</definedName>
    <definedName name="Page175">#REF!</definedName>
    <definedName name="Page176" localSheetId="3">#REF!</definedName>
    <definedName name="Page176">#REF!</definedName>
    <definedName name="Page177" localSheetId="3">#REF!</definedName>
    <definedName name="Page177">#REF!</definedName>
    <definedName name="Page178" localSheetId="3">#REF!</definedName>
    <definedName name="Page178">#REF!</definedName>
    <definedName name="Page2" localSheetId="3">'[22]Summary Table - Earned'!#REF!</definedName>
    <definedName name="Page2">'[22]Summary Table - Earned'!#REF!</definedName>
    <definedName name="PAGE3" localSheetId="3">#REF!</definedName>
    <definedName name="PAGE3">#REF!</definedName>
    <definedName name="Page4" localSheetId="3">#REF!</definedName>
    <definedName name="Page4">#REF!</definedName>
    <definedName name="Page5" localSheetId="3">#REF!</definedName>
    <definedName name="Page5">#REF!</definedName>
    <definedName name="Page62" localSheetId="3">[18]TransInvest!#REF!</definedName>
    <definedName name="Page62">[18]TransInvest!#REF!</definedName>
    <definedName name="page63" localSheetId="3">'[6]Energy Factor'!#REF!</definedName>
    <definedName name="page63">'[6]Energy Factor'!#REF!</definedName>
    <definedName name="page64" localSheetId="3">'[6]Energy Factor'!#REF!</definedName>
    <definedName name="page64">'[6]Energy Factor'!#REF!</definedName>
    <definedName name="page65" localSheetId="3">#REF!</definedName>
    <definedName name="page65">#REF!</definedName>
    <definedName name="page66" localSheetId="3">#REF!</definedName>
    <definedName name="page66">#REF!</definedName>
    <definedName name="page67" localSheetId="3">#REF!</definedName>
    <definedName name="page67">#REF!</definedName>
    <definedName name="page68" localSheetId="3">#REF!</definedName>
    <definedName name="page68">#REF!</definedName>
    <definedName name="page69" localSheetId="3">#REF!</definedName>
    <definedName name="page69">#REF!</definedName>
    <definedName name="Page7" localSheetId="3">#REF!</definedName>
    <definedName name="Page7">#REF!</definedName>
    <definedName name="page8" localSheetId="3">#REF!</definedName>
    <definedName name="page8">#REF!</definedName>
    <definedName name="PALL" localSheetId="3">#REF!</definedName>
    <definedName name="PALL">#REF!</definedName>
    <definedName name="PBLOCK" localSheetId="3">#REF!</definedName>
    <definedName name="PBLOCK">#REF!</definedName>
    <definedName name="PBLOCKWZ" localSheetId="3">#REF!</definedName>
    <definedName name="PBLOCKWZ">#REF!</definedName>
    <definedName name="PC_Year1">[10]Variables!$C$21</definedName>
    <definedName name="PC_Year2">[10]Variables!$D$21</definedName>
    <definedName name="PC_YR1">[12]Variables!$C$21</definedName>
    <definedName name="PC_YR2">[12]Variables!$D$21</definedName>
    <definedName name="PCOMP" localSheetId="3">#REF!</definedName>
    <definedName name="PCOMP">#REF!</definedName>
    <definedName name="PCOMPOSITES" localSheetId="3">#REF!</definedName>
    <definedName name="PCOMPOSITES">#REF!</definedName>
    <definedName name="PCOMPWZ" localSheetId="3">#REF!</definedName>
    <definedName name="PCOMPWZ">#REF!</definedName>
    <definedName name="PeakMethod">[5]Inputs!$T$5</definedName>
    <definedName name="PLUG" localSheetId="3">#REF!</definedName>
    <definedName name="PLUG">#REF!</definedName>
    <definedName name="PMAC" localSheetId="3">[17]Backup!#REF!</definedName>
    <definedName name="PMAC">[17]Backup!#REF!</definedName>
    <definedName name="Pref_">[9]Inputs!$K$20</definedName>
    <definedName name="PRESENT" localSheetId="3">#REF!</definedName>
    <definedName name="PRESENT">#REF!</definedName>
    <definedName name="PRICCHNG" localSheetId="3">#REF!</definedName>
    <definedName name="PRICCHNG">#REF!</definedName>
    <definedName name="_xlnm.Print_Area" localSheetId="0">'Exhibit-RMP(WRG-1R)'!$A$1:$O$52</definedName>
    <definedName name="_xlnm.Print_Area" localSheetId="1">'Exhibit-RMP(WRG-2R)'!$A$1:$K$490</definedName>
    <definedName name="_xlnm.Print_Area" localSheetId="2">RateSpread!$A$1:$O$53</definedName>
    <definedName name="_xlnm.Print_Area" localSheetId="3">Stipulation!$A$1:$N$28</definedName>
    <definedName name="_xlnm.Print_Area">#REF!</definedName>
    <definedName name="_xlnm.Print_Titles" localSheetId="0">'Exhibit-RMP(WRG-1R)'!$A:$K,'Exhibit-RMP(WRG-1R)'!$8:$13</definedName>
    <definedName name="_xlnm.Print_Titles" localSheetId="1">'Exhibit-RMP(WRG-2R)'!$1:$9</definedName>
    <definedName name="_xlnm.Print_Titles" localSheetId="2">RateSpread!$A:$K,RateSpread!$9:$13</definedName>
    <definedName name="Print_Titles_MI" localSheetId="1">'Exhibit-RMP(WRG-2R)'!$1:$9</definedName>
    <definedName name="PROPOSED" localSheetId="3">#REF!</definedName>
    <definedName name="PROPOSED">#REF!</definedName>
    <definedName name="ProRate1" localSheetId="3">#REF!</definedName>
    <definedName name="ProRate1">#REF!</definedName>
    <definedName name="PTABLES" localSheetId="3">#REF!</definedName>
    <definedName name="PTABLES">#REF!</definedName>
    <definedName name="PTDMOD" localSheetId="3">#REF!</definedName>
    <definedName name="PTDMOD">#REF!</definedName>
    <definedName name="PTDROLL" localSheetId="3">#REF!</definedName>
    <definedName name="PTDROLL">#REF!</definedName>
    <definedName name="PTMOD" localSheetId="3">#REF!</definedName>
    <definedName name="PTMOD">#REF!</definedName>
    <definedName name="PTROLL" localSheetId="3">#REF!</definedName>
    <definedName name="PTROLL">#REF!</definedName>
    <definedName name="PWORKBACK" localSheetId="3">#REF!</definedName>
    <definedName name="PWORKBACK">#REF!</definedName>
    <definedName name="Query1" localSheetId="3">#REF!</definedName>
    <definedName name="Query1">#REF!</definedName>
    <definedName name="RateCd" localSheetId="3">#REF!</definedName>
    <definedName name="RateCd">#REF!</definedName>
    <definedName name="Rates" localSheetId="3">#REF!</definedName>
    <definedName name="Rates">#REF!</definedName>
    <definedName name="RC_ADJ" localSheetId="3">#REF!</definedName>
    <definedName name="RC_ADJ">#REF!</definedName>
    <definedName name="RESADJ" localSheetId="3">#REF!</definedName>
    <definedName name="RESADJ">#REF!</definedName>
    <definedName name="RESIDENTIAL" localSheetId="3">#REF!</definedName>
    <definedName name="RESIDENTIAL">#REF!</definedName>
    <definedName name="ResourceSupplier">[11]Variables!$D$28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3">#REF!</definedName>
    <definedName name="REV_SCHD">#REF!</definedName>
    <definedName name="RevCl" localSheetId="3">#REF!</definedName>
    <definedName name="RevCl">#REF!</definedName>
    <definedName name="RevClass" localSheetId="3">#REF!</definedName>
    <definedName name="RevClass">#REF!</definedName>
    <definedName name="Revenue_by_month_take_2" localSheetId="3">#REF!</definedName>
    <definedName name="Revenue_by_month_take_2">#REF!</definedName>
    <definedName name="Revenue1">'[12]PPL_905_Pg1 (RR by Class)'!$C$37</definedName>
    <definedName name="revenue3" localSheetId="3">#REF!</definedName>
    <definedName name="revenue3">#REF!</definedName>
    <definedName name="RevenueCheck" localSheetId="3">#REF!</definedName>
    <definedName name="RevenueCheck">#REF!</definedName>
    <definedName name="Revenues" localSheetId="3">#REF!</definedName>
    <definedName name="Revenues">#REF!</definedName>
    <definedName name="RevReqSettle" localSheetId="3">#REF!</definedName>
    <definedName name="RevReqSettle">#REF!</definedName>
    <definedName name="REVVSTRS" localSheetId="3">#REF!</definedName>
    <definedName name="REVVSTRS">#REF!</definedName>
    <definedName name="RISFORM" localSheetId="3">#REF!</definedName>
    <definedName name="RISFORM">#REF!</definedName>
    <definedName name="SAPBEXrevision" hidden="1">1</definedName>
    <definedName name="SAPBEXsysID" hidden="1">"BWP"</definedName>
    <definedName name="SAPBEXwbID" hidden="1">"44KU92Q9LH2VK4DK86GZ93AXN"</definedName>
    <definedName name="SCH33CUSTS" localSheetId="3">#REF!</definedName>
    <definedName name="SCH33CUSTS">#REF!</definedName>
    <definedName name="SCH48ADJ" localSheetId="3">#REF!</definedName>
    <definedName name="SCH48ADJ">#REF!</definedName>
    <definedName name="SCH98NOR" localSheetId="3">#REF!</definedName>
    <definedName name="SCH98NOR">#REF!</definedName>
    <definedName name="SCHED47" localSheetId="3">#REF!</definedName>
    <definedName name="SCHED47">#REF!</definedName>
    <definedName name="se" localSheetId="3">#REF!</definedName>
    <definedName name="se">#REF!</definedName>
    <definedName name="SECOND" localSheetId="3">[1]Jan!#REF!</definedName>
    <definedName name="SECOND">[1]Jan!#REF!</definedName>
    <definedName name="SEP" localSheetId="3">#REF!</definedName>
    <definedName name="SEP">#REF!</definedName>
    <definedName name="SEPT" localSheetId="3">#REF!</definedName>
    <definedName name="SEPT">#REF!</definedName>
    <definedName name="September_2001_305_Detail" localSheetId="3">#REF!</definedName>
    <definedName name="September_2001_305_Detail">#REF!</definedName>
    <definedName name="Service_Year1">[10]Variables!$C$18</definedName>
    <definedName name="Service_Year2">[10]Variables!$D$18</definedName>
    <definedName name="SERVICES_3" localSheetId="3">#REF!</definedName>
    <definedName name="SERVICES_3">#REF!</definedName>
    <definedName name="sg" localSheetId="3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1" hidden="1">'Exhibit-RMP(WRG-2R)'!#REF!</definedName>
    <definedName name="solver_cvg" localSheetId="1" hidden="1">0.001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'Exhibit-RMP(WRG-2R)'!#REF!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RV_YR1">[12]Variables!$C$18</definedName>
    <definedName name="SRV_YR2">[12]Variables!$D$18</definedName>
    <definedName name="START" localSheetId="3">[1]Jan!#REF!</definedName>
    <definedName name="Start">'[10]Circuit Model Intro'!#REF!</definedName>
    <definedName name="State">[10]Variables!$C$10</definedName>
    <definedName name="Streetlight_Year1">[10]Variables!$C$24</definedName>
    <definedName name="Streetlight_Year2">[10]Variables!$D$24</definedName>
    <definedName name="SUM_TAB1" localSheetId="3">#REF!</definedName>
    <definedName name="SUM_TAB1">#REF!</definedName>
    <definedName name="SUM_TAB2" localSheetId="3">#REF!</definedName>
    <definedName name="SUM_TAB2">#REF!</definedName>
    <definedName name="SUM_TAB3" localSheetId="3">#REF!</definedName>
    <definedName name="SUM_TAB3">#REF!</definedName>
    <definedName name="TABLE_1" localSheetId="3">#REF!</definedName>
    <definedName name="TABLE_1">#REF!</definedName>
    <definedName name="TABLE_2" localSheetId="3">#REF!</definedName>
    <definedName name="TABLE_2">#REF!</definedName>
    <definedName name="TABLE_3" localSheetId="3">#REF!</definedName>
    <definedName name="TABLE_3">#REF!</definedName>
    <definedName name="TABLE_4" localSheetId="3">#REF!</definedName>
    <definedName name="TABLE_4">#REF!</definedName>
    <definedName name="TABLE_4_A" localSheetId="3">#REF!</definedName>
    <definedName name="TABLE_4_A">#REF!</definedName>
    <definedName name="TABLE_5" localSheetId="3">#REF!</definedName>
    <definedName name="TABLE_5">#REF!</definedName>
    <definedName name="TABLE_6" localSheetId="3">#REF!</definedName>
    <definedName name="TABLE_6">#REF!</definedName>
    <definedName name="TABLE_7" localSheetId="3">#REF!</definedName>
    <definedName name="TABLE_7">#REF!</definedName>
    <definedName name="TABLE1" localSheetId="3">#REF!</definedName>
    <definedName name="TABLE1">#REF!</definedName>
    <definedName name="TABLE2" localSheetId="3">#REF!</definedName>
    <definedName name="TABLE2">#REF!</definedName>
    <definedName name="TABLEA" localSheetId="3">#REF!</definedName>
    <definedName name="TABLEA">#REF!</definedName>
    <definedName name="TABLEB" localSheetId="3">#REF!</definedName>
    <definedName name="TABLEB">#REF!</definedName>
    <definedName name="TABLEC" localSheetId="3">#REF!</definedName>
    <definedName name="TABLEC">#REF!</definedName>
    <definedName name="TABLEONE" localSheetId="3">#REF!</definedName>
    <definedName name="TABLEONE">#REF!</definedName>
    <definedName name="Targetror" localSheetId="3">[8]Variables!$I$38</definedName>
    <definedName name="TargetROR">[9]Inputs!$L$9</definedName>
    <definedName name="TDMOD" localSheetId="3">#REF!</definedName>
    <definedName name="TDMOD">#REF!</definedName>
    <definedName name="TDROLL" localSheetId="3">#REF!</definedName>
    <definedName name="TDROLL">#REF!</definedName>
    <definedName name="TEMPADJ" localSheetId="3">#REF!</definedName>
    <definedName name="TEMPADJ">#REF!</definedName>
    <definedName name="Test" localSheetId="3">#REF!</definedName>
    <definedName name="Test">#REF!</definedName>
    <definedName name="Test_COS">'[4]Hot Sheet'!$F$120</definedName>
    <definedName name="Test1" localSheetId="3">#REF!</definedName>
    <definedName name="Test1">#REF!</definedName>
    <definedName name="Test2" localSheetId="3">#REF!</definedName>
    <definedName name="Test2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Period">[4]Inputs!$C$6</definedName>
    <definedName name="TESTYEAR">[12]Variables!$C$11</definedName>
    <definedName name="TotalRateBase">'[6]G+T+D+R+M'!$H$58</definedName>
    <definedName name="TotTaxRate">[6]Inputs!$H$17</definedName>
    <definedName name="Trans_Year1">[10]Variables!$C$22</definedName>
    <definedName name="Trans_Year2">[10]Variables!$D$22</definedName>
    <definedName name="TRANS_YR1">[12]Variables!$C$22</definedName>
    <definedName name="TRANS_YR2">[12]Variables!$D$22</definedName>
    <definedName name="TRANSM_2">[23]Transm2!$A$1:$M$461:'[23]10 Yr FC'!$M$47</definedName>
    <definedName name="UAACT550SGW">[6]FuncStudy!$Y$405</definedName>
    <definedName name="UAACT554SGW">[6]FuncStudy!$Y$427</definedName>
    <definedName name="UAcct103">'[4]Func Study'!$AB$1645</definedName>
    <definedName name="UAcct105S">'[4]Func Study'!$AB$2033</definedName>
    <definedName name="UAcct105SEU">'[4]Func Study'!$AB$2037</definedName>
    <definedName name="UAcct105SGG">'[4]Func Study'!$AB$2038</definedName>
    <definedName name="UAcct105SGP1">'[4]Func Study'!$AB$2034</definedName>
    <definedName name="UAcct105SGP2">'[4]Func Study'!$AB$2036</definedName>
    <definedName name="UAcct105SGT">'[4]Func Study'!$AB$2035</definedName>
    <definedName name="UAcct1081390">'[4]Func Study'!$AB$2487</definedName>
    <definedName name="UAcct1081390Rcl">'[4]Func Study'!$AB$2486</definedName>
    <definedName name="UAcct1081399">'[4]Func Study'!$AB$2495</definedName>
    <definedName name="UAcct1081399Rcl">'[4]Func Study'!$AB$2494</definedName>
    <definedName name="UAcct108360">'[4]Func Study'!$AB$2389</definedName>
    <definedName name="UAcct108361">'[4]Func Study'!$AB$2393</definedName>
    <definedName name="UAcct108362">'[4]Func Study'!$AB$2397</definedName>
    <definedName name="UAcct108364">'[4]Func Study'!$AB$2401</definedName>
    <definedName name="UAcct108365">'[4]Func Study'!$AB$2405</definedName>
    <definedName name="UAcct108366">'[4]Func Study'!$AB$2409</definedName>
    <definedName name="UAcct108367">'[4]Func Study'!$AB$2413</definedName>
    <definedName name="UAcct108368">'[4]Func Study'!$AB$2417</definedName>
    <definedName name="UAcct108369">'[4]Func Study'!$AB$2421</definedName>
    <definedName name="UAcct108370">'[4]Func Study'!$AB$2425</definedName>
    <definedName name="UAcct108371">'[4]Func Study'!$AB$2429</definedName>
    <definedName name="UAcct108372">'[4]Func Study'!$AB$2433</definedName>
    <definedName name="UAcct108373">'[4]Func Study'!$AB$2437</definedName>
    <definedName name="UAcct108D">'[4]Func Study'!$AB$2449</definedName>
    <definedName name="UAcct108D00">'[4]Func Study'!$AB$2441</definedName>
    <definedName name="UAcct108Ds">'[4]Func Study'!$AB$2445</definedName>
    <definedName name="UAcct108Ep">'[4]Func Study'!$AB$2362</definedName>
    <definedName name="UAcct108Gpcn">'[4]Func Study'!$AB$2463</definedName>
    <definedName name="uacct108gpdeu">'[4]Func Study'!$AB$2466</definedName>
    <definedName name="UAcct108Gps">'[4]Func Study'!$AB$2459</definedName>
    <definedName name="UAcct108Gpse">'[4]Func Study'!$AB$2465</definedName>
    <definedName name="UAcct108Gpsg">'[4]Func Study'!$AB$2462</definedName>
    <definedName name="UAcct108Gpsgp">'[4]Func Study'!$AB$2460</definedName>
    <definedName name="UAcct108Gpsgu">'[4]Func Study'!$AB$2461</definedName>
    <definedName name="UAcct108Gpso">'[4]Func Study'!$AB$2464</definedName>
    <definedName name="UACCT108GPSSGCH">'[4]Func Study'!$AB$2468</definedName>
    <definedName name="UACCT108GPSSGCT">'[4]Func Study'!$AB$2467</definedName>
    <definedName name="UAcct108Hp">'[4]Func Study'!$AB$2349</definedName>
    <definedName name="UAcct108Mp">'[4]Func Study'!$AB$2480</definedName>
    <definedName name="UAcct108Np">'[4]Func Study'!$AB$2342</definedName>
    <definedName name="UAcct108Op">'[4]Func Study'!$AB$2357</definedName>
    <definedName name="UAcct108Opsgw">[6]FuncStudy!$Y$1980</definedName>
    <definedName name="UAcct108OPSSGCT">'[4]Func Study'!$AB$2356</definedName>
    <definedName name="UAcct108Sp">'[4]Func Study'!$AB$2336</definedName>
    <definedName name="uacct108spssgch">'[4]Func Study'!$AB$2335</definedName>
    <definedName name="UAcct108Tp">'[4]Func Study'!$AB$2380</definedName>
    <definedName name="UAcct111390">'[4]Func Study'!$AB$2554</definedName>
    <definedName name="UAcct111Clg">'[4]Func Study'!$AB$2523</definedName>
    <definedName name="UAcct111Clgcn">'[4]Func Study'!$AB$2519</definedName>
    <definedName name="UAcct111Clgsop">'[4]Func Study'!$AB$2522</definedName>
    <definedName name="UAcct111Clgsou">'[4]Func Study'!$AB$2521</definedName>
    <definedName name="UAcct111Clh">'[4]Func Study'!$AB$2529</definedName>
    <definedName name="UAcct111Cls">'[4]Func Study'!$AB$2514</definedName>
    <definedName name="UAcct111Ipcn">'[4]Func Study'!$AB$2538</definedName>
    <definedName name="UAcct111Ips">'[4]Func Study'!$AB$2533</definedName>
    <definedName name="UAcct111Ipse">'[4]Func Study'!$AB$2536</definedName>
    <definedName name="UAcct111Ipsg">'[4]Func Study'!$AB$2537</definedName>
    <definedName name="UAcct111Ipsgp">'[4]Func Study'!$AB$2534</definedName>
    <definedName name="UAcct111Ipsgu">'[4]Func Study'!$AB$2535</definedName>
    <definedName name="uacct111ipso">'[4]Func Study'!$AB$2541</definedName>
    <definedName name="UACCT111IPSSGCH">'[4]Func Study'!$AB$2540</definedName>
    <definedName name="UACCT111IPSSGCT">'[4]Func Study'!$AB$2539</definedName>
    <definedName name="UAcct114">'[4]Func Study'!$AB$2045</definedName>
    <definedName name="UAcct120">'[4]Func Study'!$AB$2049</definedName>
    <definedName name="UAcct124">'[4]Func Study'!$AB$2054</definedName>
    <definedName name="UAcct141">'[4]Func Study'!$AB$2199</definedName>
    <definedName name="UAcct151">'[4]Func Study'!$AB$2076</definedName>
    <definedName name="UAcct151Se" localSheetId="3">'[4]Func Study'!#REF!</definedName>
    <definedName name="UAcct151Se">'[4]Func Study'!#REF!</definedName>
    <definedName name="uacct151ssech">'[4]Func Study'!$AB$2075</definedName>
    <definedName name="UAcct154">'[4]Func Study'!$AB$2110</definedName>
    <definedName name="uacct154ssgch">'[4]Func Study'!$AB$2109</definedName>
    <definedName name="UAcct163">'[4]Func Study'!$AB$2120</definedName>
    <definedName name="UAcct165">'[4]Func Study'!$AB$2135</definedName>
    <definedName name="UAcct165Se">'[4]Func Study'!$AB$2133</definedName>
    <definedName name="UAcct182">'[4]Func Study'!$AB$2061</definedName>
    <definedName name="UAcct18222">'[4]Func Study'!$AB$2189</definedName>
    <definedName name="UAcct182M">'[4]Func Study'!$AB$2145</definedName>
    <definedName name="UAcct182MSSGCT">[6]FuncStudy!$Y$1778</definedName>
    <definedName name="uacct182ssgch">'[4]Func Study'!$AB$2142</definedName>
    <definedName name="UAcct186">'[4]Func Study'!$AB$2069</definedName>
    <definedName name="UAcct1869">'[4]Func Study'!$AB$2194</definedName>
    <definedName name="UAcct186M">'[4]Func Study'!$AB$2156</definedName>
    <definedName name="UAcct186Mse">'[4]Func Study'!$AB$2153</definedName>
    <definedName name="UAcct190">'[4]Func Study'!$AB$2271</definedName>
    <definedName name="UAcct190CN">'[4]Func Study'!$AB$2260</definedName>
    <definedName name="UAcct190Dop">'[4]Func Study'!$AB$2261</definedName>
    <definedName name="UACCT190IBT">'[4]Func Study'!$AB$2263</definedName>
    <definedName name="UACCT190SSGCT">'[4]Func Study'!$AB$2270</definedName>
    <definedName name="UACCT2281">'[4]Func Study'!$AB$2216</definedName>
    <definedName name="UAcct2282">'[4]Func Study'!$AB$2220</definedName>
    <definedName name="UAcct2283">'[4]Func Study'!$AB$2224</definedName>
    <definedName name="UAcct2283S">'[4]Func Study'!$AB$2228</definedName>
    <definedName name="UAcct22842">'[4]Func Study'!$AB$2237</definedName>
    <definedName name="UAcct22842Trojd" localSheetId="3">'[5]Func Study'!#REF!</definedName>
    <definedName name="UAcct22842Trojd">'[5]Func Study'!#REF!</definedName>
    <definedName name="UAcct235">'[4]Func Study'!$AB$2212</definedName>
    <definedName name="UAcct252">'[4]Func Study'!$AB$2245</definedName>
    <definedName name="UAcct25316">'[4]Func Study'!$AB$2084</definedName>
    <definedName name="UAcct25317">'[4]Func Study'!$AB$2088</definedName>
    <definedName name="UAcct25318">'[4]Func Study'!$AB$2125</definedName>
    <definedName name="UAcct25319">'[4]Func Study'!$AB$2092</definedName>
    <definedName name="UACCT25398">'[4]Func Study'!$AB$2249</definedName>
    <definedName name="UAcct25399">'[4]Func Study'!$AB$2256</definedName>
    <definedName name="UAcct254">'[4]Func Study'!$AB$2233</definedName>
    <definedName name="UACCT254SO">'[4]Func Study'!$AB$2232</definedName>
    <definedName name="UAcct255">'[4]Func Study'!$AB$2321</definedName>
    <definedName name="UAcct281">'[4]Func Study'!$AB$2277</definedName>
    <definedName name="UAcct282">'[4]Func Study'!$AB$2295</definedName>
    <definedName name="UAcct282So">'[4]Func Study'!$AB$2283</definedName>
    <definedName name="UAcct283">'[4]Func Study'!$AB$2308</definedName>
    <definedName name="UAcct283So">'[4]Func Study'!$AB$2301</definedName>
    <definedName name="UACCT283SSGCH">'[4]Func Study'!$AB$2307</definedName>
    <definedName name="UAcct301S">'[4]Func Study'!$AB$1993</definedName>
    <definedName name="UAcct301Sg">'[4]Func Study'!$AB$1995</definedName>
    <definedName name="UAcct301So">'[4]Func Study'!$AB$1994</definedName>
    <definedName name="UAcct302S">'[4]Func Study'!$AB$1998</definedName>
    <definedName name="UAcct302Sg">'[4]Func Study'!$AB$1999</definedName>
    <definedName name="UAcct302Sgp">'[4]Func Study'!$AB$2000</definedName>
    <definedName name="UAcct302Sgu">'[4]Func Study'!$AB$2001</definedName>
    <definedName name="UAcct303Cn">'[4]Func Study'!$AB$2009</definedName>
    <definedName name="UAcct303S">'[4]Func Study'!$AB$2005</definedName>
    <definedName name="UAcct303Se">'[4]Func Study'!$AB$2008</definedName>
    <definedName name="UAcct303Sg">'[4]Func Study'!$AB$2006</definedName>
    <definedName name="UAcct303So">'[4]Func Study'!$AB$2007</definedName>
    <definedName name="UACCT303SSGCT">'[4]Func Study'!$AB$2011</definedName>
    <definedName name="UAcct310">'[4]Func Study'!$AB$1441</definedName>
    <definedName name="uacct310ssgch">'[4]Func Study'!$AB$1440</definedName>
    <definedName name="UAcct311">'[4]Func Study'!$AB$1448</definedName>
    <definedName name="uacct311ssgch">'[4]Func Study'!$AB$1447</definedName>
    <definedName name="UAcct312">'[4]Func Study'!$AB$1455</definedName>
    <definedName name="uacct312ssgch">'[4]Func Study'!$AB$1454</definedName>
    <definedName name="UAcct314">'[4]Func Study'!$AB$1462</definedName>
    <definedName name="uacct314ssgch">'[4]Func Study'!$AB$1461</definedName>
    <definedName name="UAcct315">'[4]Func Study'!$AB$1469</definedName>
    <definedName name="uacct315ssgch">'[4]Func Study'!$AB$1468</definedName>
    <definedName name="UAcct316">'[4]Func Study'!$AB$1476</definedName>
    <definedName name="uacct316ssgch">'[4]Func Study'!$AB$1475</definedName>
    <definedName name="UAcct320">'[4]Func Study'!$AB$1492</definedName>
    <definedName name="UAcct321">'[4]Func Study'!$AB$1497</definedName>
    <definedName name="UAcct322">'[4]Func Study'!$AB$1502</definedName>
    <definedName name="UAcct323">'[4]Func Study'!$AB$1507</definedName>
    <definedName name="UAcct324">'[4]Func Study'!$AB$1512</definedName>
    <definedName name="UAcct325">'[4]Func Study'!$AB$1517</definedName>
    <definedName name="UAcct33">'[4]Func Study'!$AB$290</definedName>
    <definedName name="UAcct330">'[4]Func Study'!$AB$1535</definedName>
    <definedName name="UAcct331">'[4]Func Study'!$AB$1541</definedName>
    <definedName name="UAcct332">'[4]Func Study'!$AB$1547</definedName>
    <definedName name="UAcct333">'[4]Func Study'!$AB$1553</definedName>
    <definedName name="UAcct334">'[4]Func Study'!$AB$1559</definedName>
    <definedName name="UAcct335">'[4]Func Study'!$AB$1565</definedName>
    <definedName name="UAcct336">'[4]Func Study'!$AB$1571</definedName>
    <definedName name="UAcct340">'[4]Func Study'!$AB$1600</definedName>
    <definedName name="UAcct340Sgw">[6]FuncStudy!$Y$1264</definedName>
    <definedName name="UAcct341">'[4]Func Study'!$AB$1605</definedName>
    <definedName name="UACCT341SGW">[6]FuncStudy!$Y$1270</definedName>
    <definedName name="uacct341ssgct">'[4]Func Study'!$AB$1604</definedName>
    <definedName name="UAcct342">'[4]Func Study'!$AB$1610</definedName>
    <definedName name="uacct342ssgct">'[4]Func Study'!$AB$1609</definedName>
    <definedName name="UAcct343">'[4]Func Study'!$AB$1617</definedName>
    <definedName name="UAcct343Sgw">[6]FuncStudy!$Y$1282</definedName>
    <definedName name="uacct343sscct">'[4]Func Study'!$AB$1616</definedName>
    <definedName name="UAcct344">'[4]Func Study'!$AB$1623</definedName>
    <definedName name="UACCT344SGW">[6]FuncStudy!$Y$1289</definedName>
    <definedName name="uacct344ssgct">'[4]Func Study'!$AB$1622</definedName>
    <definedName name="UAcct345">'[4]Func Study'!$AB$1628</definedName>
    <definedName name="UACCT345SGW">[6]FuncStudy!$Y$1295</definedName>
    <definedName name="uacct345ssgct">'[4]Func Study'!$AB$1627</definedName>
    <definedName name="UAcct346">'[4]Func Study'!$AB$1633</definedName>
    <definedName name="UAcct346SGW">[6]FuncStudy!$Y$1301</definedName>
    <definedName name="UAcct350">'[4]Func Study'!$AB$1660</definedName>
    <definedName name="UAcct352">'[4]Func Study'!$AB$1667</definedName>
    <definedName name="UAcct353">'[4]Func Study'!$AB$1673</definedName>
    <definedName name="UAcct354">'[4]Func Study'!$AB$1679</definedName>
    <definedName name="UAcct355">'[4]Func Study'!$AB$1685</definedName>
    <definedName name="UAcct356">'[4]Func Study'!$AB$1691</definedName>
    <definedName name="UAcct357">'[4]Func Study'!$AB$1697</definedName>
    <definedName name="UAcct358">'[4]Func Study'!$AB$1703</definedName>
    <definedName name="UAcct359">'[4]Func Study'!$AB$1709</definedName>
    <definedName name="UAcct360">'[4]Func Study'!$AB$1729</definedName>
    <definedName name="UAcct361">'[4]Func Study'!$AB$1735</definedName>
    <definedName name="UAcct362">'[4]Func Study'!$AB$1741</definedName>
    <definedName name="UAcct368">'[4]Func Study'!$AB$1775</definedName>
    <definedName name="UAcct369">'[4]Func Study'!$AB$1782</definedName>
    <definedName name="UAcct370">'[4]Func Study'!$AB$1793</definedName>
    <definedName name="UAcct372A">'[4]Func Study'!$AB$1806</definedName>
    <definedName name="UAcct372Dp">'[4]Func Study'!$AB$1804</definedName>
    <definedName name="UAcct372Ds">'[4]Func Study'!$AB$1805</definedName>
    <definedName name="UAcct373">'[4]Func Study'!$AB$1813</definedName>
    <definedName name="UAcct389Cn">'[4]Func Study'!$AB$1831</definedName>
    <definedName name="UAcct389S">'[4]Func Study'!$AB$1830</definedName>
    <definedName name="UAcct389Sg">'[4]Func Study'!$AB$1833</definedName>
    <definedName name="UAcct389Sgu">'[4]Func Study'!$AB$1832</definedName>
    <definedName name="UAcct389So">'[4]Func Study'!$AB$1834</definedName>
    <definedName name="UAcct390Cn">'[4]Func Study'!$AB$1841</definedName>
    <definedName name="UACCT390LS">'[4]Func Study'!$AB$1954</definedName>
    <definedName name="UAcct390LSG">'[4]Func Study'!$AB$1955</definedName>
    <definedName name="UAcct390LSO">'[4]Func Study'!$AB$1956</definedName>
    <definedName name="UAcct390S">'[4]Func Study'!$AB$1838</definedName>
    <definedName name="UAcct390Sgp">'[4]Func Study'!$AB$1839</definedName>
    <definedName name="UAcct390Sgu">'[4]Func Study'!$AB$1840</definedName>
    <definedName name="UAcct390Sop">'[4]Func Study'!$AB$1842</definedName>
    <definedName name="UAcct390Sou">'[4]Func Study'!$AB$1843</definedName>
    <definedName name="UAcct391Cn">'[4]Func Study'!$AB$1851</definedName>
    <definedName name="UAcct391S">'[4]Func Study'!$AB$1848</definedName>
    <definedName name="UAcct391Se">'[4]Func Study'!$AB$1853</definedName>
    <definedName name="UAcct391Sg">'[4]Func Study'!$AB$1852</definedName>
    <definedName name="UAcct391Sgp">'[4]Func Study'!$AB$1849</definedName>
    <definedName name="UAcct391Sgu">'[4]Func Study'!$AB$1850</definedName>
    <definedName name="UAcct391So">'[4]Func Study'!$AB$1854</definedName>
    <definedName name="uacct391ssgch">'[4]Func Study'!$AB$1855</definedName>
    <definedName name="UACCT391SSGCT">'[4]Func Study'!$AB$1856</definedName>
    <definedName name="UAcct392Cn">'[4]Func Study'!$AB$1863</definedName>
    <definedName name="UAcct392L">'[4]Func Study'!$AB$1964</definedName>
    <definedName name="UACCT392LRCL">'[4]Func Study'!$H$1967</definedName>
    <definedName name="UAcct392S">'[4]Func Study'!$AB$1860</definedName>
    <definedName name="UAcct392Se">'[4]Func Study'!$AB$1865</definedName>
    <definedName name="UAcct392Sg">'[4]Func Study'!$AB$1862</definedName>
    <definedName name="UAcct392Sgp">'[4]Func Study'!$AB$1866</definedName>
    <definedName name="UAcct392Sgu">'[4]Func Study'!$AB$1864</definedName>
    <definedName name="UAcct392So">'[4]Func Study'!$AB$1861</definedName>
    <definedName name="uacct392ssgch">'[4]Func Study'!$AB$1867</definedName>
    <definedName name="uacct392ssgct">'[4]Func Study'!$AB$1868</definedName>
    <definedName name="UAcct393S">'[4]Func Study'!$AB$1872</definedName>
    <definedName name="UAcct393Sg">'[4]Func Study'!$AB$1876</definedName>
    <definedName name="UAcct393Sgp">'[4]Func Study'!$AB$1873</definedName>
    <definedName name="UAcct393Sgu">'[4]Func Study'!$AB$1874</definedName>
    <definedName name="UAcct393So">'[4]Func Study'!$AB$1875</definedName>
    <definedName name="uacct393ssgct">'[4]Func Study'!$AB$1877</definedName>
    <definedName name="UAcct394S">'[4]Func Study'!$AB$1881</definedName>
    <definedName name="UAcct394Se">'[4]Func Study'!$AB$1885</definedName>
    <definedName name="UAcct394Sg">'[4]Func Study'!$AB$1886</definedName>
    <definedName name="UAcct394Sgp">'[4]Func Study'!$AB$1882</definedName>
    <definedName name="UAcct394Sgu">'[4]Func Study'!$AB$1883</definedName>
    <definedName name="UAcct394So">'[4]Func Study'!$AB$1884</definedName>
    <definedName name="UACCT394SSGCH">'[4]Func Study'!$AB$1887</definedName>
    <definedName name="UACCT394SSGCT">'[4]Func Study'!$AB$1888</definedName>
    <definedName name="UAcct395S">'[4]Func Study'!$AB$1892</definedName>
    <definedName name="UAcct395Se">'[4]Func Study'!$AB$1896</definedName>
    <definedName name="UAcct395Sg">'[4]Func Study'!$AB$1897</definedName>
    <definedName name="UAcct395Sgp">'[4]Func Study'!$AB$1893</definedName>
    <definedName name="UAcct395Sgu">'[4]Func Study'!$AB$1894</definedName>
    <definedName name="UAcct395So">'[4]Func Study'!$AB$1895</definedName>
    <definedName name="UACCT395SSGCH">'[4]Func Study'!$AB$1898</definedName>
    <definedName name="UACCT395SSGCT">'[4]Func Study'!$AB$1899</definedName>
    <definedName name="UAcct396S">'[4]Func Study'!$AB$1903</definedName>
    <definedName name="UAcct396Se">'[4]Func Study'!$AB$1908</definedName>
    <definedName name="UAcct396Sg">'[4]Func Study'!$AB$1905</definedName>
    <definedName name="UAcct396Sgp">'[4]Func Study'!$AB$1904</definedName>
    <definedName name="UAcct396Sgu">'[4]Func Study'!$AB$1907</definedName>
    <definedName name="UAcct396So">'[4]Func Study'!$AB$1906</definedName>
    <definedName name="UACCT396SSGCH">'[4]Func Study'!$AB$1910</definedName>
    <definedName name="UACCT396SSGCT">'[4]Func Study'!$AB$1909</definedName>
    <definedName name="UAcct397Cn">'[4]Func Study'!$AB$1921</definedName>
    <definedName name="UAcct397S">'[4]Func Study'!$AB$1917</definedName>
    <definedName name="UAcct397Se">'[4]Func Study'!$AB$1923</definedName>
    <definedName name="UAcct397Sg">'[4]Func Study'!$AB$1922</definedName>
    <definedName name="UAcct397Sgp">'[4]Func Study'!$AB$1918</definedName>
    <definedName name="UAcct397Sgu">'[4]Func Study'!$AB$1919</definedName>
    <definedName name="UAcct397So">'[4]Func Study'!$AB$1920</definedName>
    <definedName name="UACCT397SSGCH">'[4]Func Study'!$AB$1924</definedName>
    <definedName name="UACCT397SSGCT">'[4]Func Study'!$AB$1925</definedName>
    <definedName name="UAcct398Cn">'[4]Func Study'!$AB$1932</definedName>
    <definedName name="UAcct398S">'[4]Func Study'!$AB$1929</definedName>
    <definedName name="UAcct398Se">'[4]Func Study'!$AB$1934</definedName>
    <definedName name="UAcct398Sg">'[4]Func Study'!$AB$1935</definedName>
    <definedName name="UAcct398Sgp">'[4]Func Study'!$AB$1930</definedName>
    <definedName name="UAcct398Sgu">'[4]Func Study'!$AB$1931</definedName>
    <definedName name="UAcct398So">'[4]Func Study'!$AB$1933</definedName>
    <definedName name="UACCT398SSGCT">'[4]Func Study'!$AB$1936</definedName>
    <definedName name="UAcct399">'[4]Func Study'!$AB$1943</definedName>
    <definedName name="UAcct399G">'[4]Func Study'!$AB$1984</definedName>
    <definedName name="UAcct399L">'[4]Func Study'!$AB$1947</definedName>
    <definedName name="UAcct399Lrcl">'[4]Func Study'!$AB$1949</definedName>
    <definedName name="UAcct403360">'[4]Func Study'!$AB$1045</definedName>
    <definedName name="UAcct403361">'[4]Func Study'!$AB$1046</definedName>
    <definedName name="UAcct403362">'[4]Func Study'!$AB$1047</definedName>
    <definedName name="UAcct403364">'[4]Func Study'!$AB$1048</definedName>
    <definedName name="UAcct403365">'[4]Func Study'!$AB$1049</definedName>
    <definedName name="UAcct403366">'[4]Func Study'!$AB$1050</definedName>
    <definedName name="UAcct403367">'[4]Func Study'!$AB$1051</definedName>
    <definedName name="UAcct403368">'[4]Func Study'!$AB$1052</definedName>
    <definedName name="UAcct403369">'[4]Func Study'!$AB$1053</definedName>
    <definedName name="UAcct403370">'[4]Func Study'!$AB$1054</definedName>
    <definedName name="UAcct403371">'[4]Func Study'!$AB$1055</definedName>
    <definedName name="UAcct403372">'[4]Func Study'!$AB$1056</definedName>
    <definedName name="UAcct403373">'[4]Func Study'!$AB$1057</definedName>
    <definedName name="uacct403dgu">'[4]Func Study'!$AB$1068</definedName>
    <definedName name="UAcct403Ep">'[4]Func Study'!$AB$1084</definedName>
    <definedName name="UAcct403Gpcn">'[4]Func Study'!$AB$1065</definedName>
    <definedName name="UAcct403Gps">'[4]Func Study'!$AB$1061</definedName>
    <definedName name="UAcct403Gpseu">'[4]Func Study'!$AB$1064</definedName>
    <definedName name="UAcct403Gpsg">'[4]Func Study'!$AB$1066</definedName>
    <definedName name="UAcct403Gpsgp">'[4]Func Study'!$AB$1062</definedName>
    <definedName name="UAcct403Gpsgu">'[4]Func Study'!$AB$1063</definedName>
    <definedName name="UAcct403Gpso">'[4]Func Study'!$AB$1067</definedName>
    <definedName name="uacct403gpssgch">'[4]Func Study'!$AB$1070</definedName>
    <definedName name="UACCT403GPSSGCT">'[4]Func Study'!$AB$1069</definedName>
    <definedName name="UAcct403Gv0">'[4]Func Study'!$AB$1075</definedName>
    <definedName name="UAcct403Hp">'[4]Func Study'!$AB$1029</definedName>
    <definedName name="UAcct403Mp">'[4]Func Study'!$AB$1079</definedName>
    <definedName name="UAcct403Np">'[4]Func Study'!$AB$1024</definedName>
    <definedName name="UAcct403Op">'[4]Func Study'!$AB$1036</definedName>
    <definedName name="UAcct403Opsgu">[6]FuncStudy!$Y$796</definedName>
    <definedName name="uacct403opssg">'[4]Func Study'!$AB$1035</definedName>
    <definedName name="uacct403opssgct">'[4]Func Study'!$AB$1034</definedName>
    <definedName name="uacct403sgw">[6]FuncStudy!$Y$798</definedName>
    <definedName name="uacct403spdgp">'[4]Func Study'!$AB$1016</definedName>
    <definedName name="uacct403spdgu">'[4]Func Study'!$AB$1017</definedName>
    <definedName name="uacct403spsg">'[4]Func Study'!$AB$1018</definedName>
    <definedName name="uacct403ssgch">'[4]Func Study'!$AB$1019</definedName>
    <definedName name="UAcct403Tp">'[4]Func Study'!$AB$1042</definedName>
    <definedName name="UAcct404330">'[4]Func Study'!$AB$1126</definedName>
    <definedName name="UAcct404Clg">'[4]Func Study'!$AB$1099</definedName>
    <definedName name="UAcct404Clgsop">'[4]Func Study'!$AB$1097</definedName>
    <definedName name="UAcct404Clgsou">'[4]Func Study'!$AB$1095</definedName>
    <definedName name="UAcct404Cls">'[4]Func Study'!$AB$1104</definedName>
    <definedName name="UAcct404Ipcn">'[4]Func Study'!$AB$1111</definedName>
    <definedName name="UACCT404IPDGU">'[4]Func Study'!$AB$1114</definedName>
    <definedName name="UAcct404Ips">'[4]Func Study'!$AB$1107</definedName>
    <definedName name="UAcct404Ipse">'[4]Func Study'!$AB$1108</definedName>
    <definedName name="UACCT404IPSG">'[4]Func Study'!$AB$1109</definedName>
    <definedName name="UACCT404IPSGCT">'[4]Func Study'!$AB$1113</definedName>
    <definedName name="UACCT404IPSGP">'[4]Func Study'!$AB$1112</definedName>
    <definedName name="UAcct404Ipso">'[4]Func Study'!$AB$1110</definedName>
    <definedName name="UACCT404IPSSGCH">'[4]Func Study'!$AB$1115</definedName>
    <definedName name="UAcct404O">'[4]Func Study'!$AB$1120</definedName>
    <definedName name="UAcct405">'[4]Func Study'!$AB$1134</definedName>
    <definedName name="UAcct406">'[4]Func Study'!$AB$1142</definedName>
    <definedName name="UAcct407">'[4]Func Study'!$AB$1151</definedName>
    <definedName name="UAcct408">'[4]Func Study'!$AB$1170</definedName>
    <definedName name="UAcct408S">'[4]Func Study'!$AB$1162</definedName>
    <definedName name="UAcct40910FITOther">[6]FuncStudy!$Y$1135</definedName>
    <definedName name="UAcct40910Fitpmi">'[4]Func Study'!$AB$1415</definedName>
    <definedName name="UAcct40910FITPTC">[6]FuncStudy!$Y$1134</definedName>
    <definedName name="UAcct40910FITSitus">[6]FuncStudy!$Y$1136</definedName>
    <definedName name="UAcct40911Dgu">'[4]Func Study'!$AB$1378</definedName>
    <definedName name="UAcct40911S">'[4]Func Study'!$AB$1376</definedName>
    <definedName name="UAcct41010">'[4]Func Study'!$AB$1248</definedName>
    <definedName name="UAcct41020">'[4]Func Study'!$AB$1263</definedName>
    <definedName name="UAcct41111">'[4]Func Study'!$AB$1297</definedName>
    <definedName name="UAcct41120">'[4]Func Study'!$AB$1282</definedName>
    <definedName name="UAcct41140">'[4]Func Study'!$AB$1181</definedName>
    <definedName name="UAcct41141">'[4]Func Study'!$AB$1186</definedName>
    <definedName name="UAcct41160">'[4]Func Study'!$AB$355</definedName>
    <definedName name="UAcct41170">'[4]Func Study'!$AB$360</definedName>
    <definedName name="UAcct4118">'[4]Func Study'!$AB$364</definedName>
    <definedName name="UAcct41181">'[4]Func Study'!$AB$367</definedName>
    <definedName name="UAcct4194">'[4]Func Study'!$AB$371</definedName>
    <definedName name="UAcct419Doth">'[4]Func Study'!$AB$1223</definedName>
    <definedName name="UAcct421">'[4]Func Study'!$AB$380</definedName>
    <definedName name="UAcct4311">'[4]Func Study'!$AB$387</definedName>
    <definedName name="UAcct442Se">'[4]Func Study'!$AB$259</definedName>
    <definedName name="UAcct442Sg">'[4]Func Study'!$AB$260</definedName>
    <definedName name="UAcct447">'[4]Func Study'!$AB$284</definedName>
    <definedName name="UAcct447Dgu" localSheetId="3">'[5]Func Study'!#REF!</definedName>
    <definedName name="UAcct447Dgu">'[5]Func Study'!#REF!</definedName>
    <definedName name="UAcct447S">'[4]Func Study'!$AB$280</definedName>
    <definedName name="UAcct447Se">'[4]Func Study'!$AB$283</definedName>
    <definedName name="UAcct448S">'[4]Func Study'!$AB$273</definedName>
    <definedName name="UAcct448So">'[4]Func Study'!$AB$274</definedName>
    <definedName name="UAcct449">'[4]Func Study'!$AB$289</definedName>
    <definedName name="UAcct450">'[4]Func Study'!$AB$299</definedName>
    <definedName name="UAcct450S">'[4]Func Study'!$AB$297</definedName>
    <definedName name="UAcct450So">'[4]Func Study'!$AB$298</definedName>
    <definedName name="UAcct451S">'[4]Func Study'!$AB$302</definedName>
    <definedName name="UAcct451Sg">'[4]Func Study'!$AB$303</definedName>
    <definedName name="UAcct451So">'[4]Func Study'!$AB$304</definedName>
    <definedName name="UAcct453">'[4]Func Study'!$AB$309</definedName>
    <definedName name="UAcct454">'[4]Func Study'!$AB$315</definedName>
    <definedName name="UAcct454S">'[4]Func Study'!$AB$312</definedName>
    <definedName name="UAcct454Sg">'[4]Func Study'!$AB$313</definedName>
    <definedName name="UAcct454So">'[4]Func Study'!$AB$314</definedName>
    <definedName name="UAcct456">'[4]Func Study'!$AB$323</definedName>
    <definedName name="UAcct456Cn">'[4]Func Study'!$AB$319</definedName>
    <definedName name="UAcct456S">'[4]Func Study'!$AB$318</definedName>
    <definedName name="UAcct456Se">'[4]Func Study'!$AB$320</definedName>
    <definedName name="UAcct500">'[4]Func Study'!$AB$406</definedName>
    <definedName name="UACCT500SSGCH">'[4]Func Study'!$AB$405</definedName>
    <definedName name="UAcct501">'[4]Func Study'!$AB$414</definedName>
    <definedName name="UAcct501Se">'[4]Func Study'!$AB$409</definedName>
    <definedName name="UACCT501SENNPC">'[4]Func Study'!$AB$410</definedName>
    <definedName name="uacct501ssech">'[4]Func Study'!$AB$413</definedName>
    <definedName name="UACCT501SSECHNNPC">'[4]Func Study'!$AB$412</definedName>
    <definedName name="uacct501ssect">'[4]Func Study'!$AB$411</definedName>
    <definedName name="UAcct502">'[4]Func Study'!$AB$419</definedName>
    <definedName name="UAcct502Dnppsu" localSheetId="3">'[4]Func Study'!#REF!</definedName>
    <definedName name="UAcct502Dnppsu">'[4]Func Study'!#REF!</definedName>
    <definedName name="uacct502snpps">'[4]Func Study'!$AB$417</definedName>
    <definedName name="uacct502ssgch">'[4]Func Study'!$AB$418</definedName>
    <definedName name="UAcct503">'[4]Func Study'!$AB$424</definedName>
    <definedName name="UAcct503Se">'[4]Func Study'!$AB$422</definedName>
    <definedName name="UACCT503SENNPC">'[4]Func Study'!$AB$423</definedName>
    <definedName name="UAcct505">'[4]Func Study'!$AB$429</definedName>
    <definedName name="uacct505snpps">'[4]Func Study'!$AB$427</definedName>
    <definedName name="uacct505ssgch">'[4]Func Study'!$AB$428</definedName>
    <definedName name="UAcct506">'[4]Func Study'!$AB$435</definedName>
    <definedName name="UAcct506Se">'[4]Func Study'!$AB$433</definedName>
    <definedName name="uacct506snpps">'[4]Func Study'!$AB$432</definedName>
    <definedName name="uacct506ssgch">'[4]Func Study'!$AB$434</definedName>
    <definedName name="UAcct507">'[4]Func Study'!$AB$444</definedName>
    <definedName name="uacct507ssgch">'[4]Func Study'!$AB$443</definedName>
    <definedName name="UAcct510">'[4]Func Study'!$AB$449</definedName>
    <definedName name="uacct510ssgch">'[4]Func Study'!$AB$448</definedName>
    <definedName name="UAcct511">'[4]Func Study'!$AB$454</definedName>
    <definedName name="uacct511ssgch">'[4]Func Study'!$AB$453</definedName>
    <definedName name="UAcct512">'[4]Func Study'!$AB$459</definedName>
    <definedName name="uacct512ssgch">'[4]Func Study'!$AB$458</definedName>
    <definedName name="UAcct513">'[4]Func Study'!$AB$464</definedName>
    <definedName name="uacct513ssgch">'[4]Func Study'!$AB$463</definedName>
    <definedName name="UAcct514">'[4]Func Study'!$AB$469</definedName>
    <definedName name="uacct514ssgch">'[4]Func Study'!$AB$468</definedName>
    <definedName name="UAcct517">'[4]Func Study'!$AB$478</definedName>
    <definedName name="UAcct518">'[4]Func Study'!$AB$482</definedName>
    <definedName name="UAcct519">'[4]Func Study'!$AB$487</definedName>
    <definedName name="UAcct520">'[4]Func Study'!$AB$491</definedName>
    <definedName name="UAcct523">'[4]Func Study'!$AB$495</definedName>
    <definedName name="UAcct524">'[4]Func Study'!$AB$499</definedName>
    <definedName name="UAcct528">'[4]Func Study'!$AB$503</definedName>
    <definedName name="UAcct529">'[4]Func Study'!$AB$507</definedName>
    <definedName name="UAcct530">'[4]Func Study'!$AB$511</definedName>
    <definedName name="UAcct531">'[4]Func Study'!$AB$515</definedName>
    <definedName name="UAcct532">'[4]Func Study'!$AB$519</definedName>
    <definedName name="UAcct535">'[4]Func Study'!$AB$531</definedName>
    <definedName name="UAcct536">'[4]Func Study'!$AB$535</definedName>
    <definedName name="UAcct537">'[4]Func Study'!$AB$539</definedName>
    <definedName name="UAcct538">'[4]Func Study'!$AB$543</definedName>
    <definedName name="UAcct539">'[4]Func Study'!$AB$547</definedName>
    <definedName name="UAcct540">'[4]Func Study'!$AB$551</definedName>
    <definedName name="UAcct541">'[4]Func Study'!$AB$555</definedName>
    <definedName name="UAcct542">'[4]Func Study'!$AB$559</definedName>
    <definedName name="UAcct543">'[4]Func Study'!$AB$563</definedName>
    <definedName name="UAcct544">'[4]Func Study'!$AB$567</definedName>
    <definedName name="UAcct545">'[4]Func Study'!$AB$571</definedName>
    <definedName name="UAcct546">'[4]Func Study'!$AB$584</definedName>
    <definedName name="UAcct547Se">'[4]Func Study'!$AB$587</definedName>
    <definedName name="UACCT547SSECT">'[4]Func Study'!$AB$588</definedName>
    <definedName name="UAcct548">'[4]Func Study'!$AB$594</definedName>
    <definedName name="uacct548ssgct">'[4]Func Study'!$AB$593</definedName>
    <definedName name="UAcct549">'[4]Func Study'!$AB$599</definedName>
    <definedName name="UAcct549sg">[6]FuncStudy!$Y$398</definedName>
    <definedName name="uacct550">'[4]Func Study'!$AB$610</definedName>
    <definedName name="UACCT550sg">[6]FuncStudy!$Y$404</definedName>
    <definedName name="uacct550ssgct">'[4]Func Study'!$AB$609</definedName>
    <definedName name="UAcct551">'[4]Func Study'!$AB$614</definedName>
    <definedName name="UAcct552">'[4]Func Study'!$AB$619</definedName>
    <definedName name="UAcct553">'[4]Func Study'!$AB$625</definedName>
    <definedName name="UACCT553SSGCT">'[4]Func Study'!$AB$624</definedName>
    <definedName name="UAcct554">'[4]Func Study'!$AB$630</definedName>
    <definedName name="UAcct554SSCT">[6]FuncStudy!$Y$426</definedName>
    <definedName name="UACCT554SSGCT">'[4]Func Study'!$AB$629</definedName>
    <definedName name="uacct555dgp">'[4]Func Study'!$AB$645</definedName>
    <definedName name="UAcct555Dgu">'[4]Func Study'!$AB$642</definedName>
    <definedName name="UAcct555S">'[4]Func Study'!$AB$641</definedName>
    <definedName name="UAcct555Se">'[4]Func Study'!$AB$643</definedName>
    <definedName name="uacct555ssgp">'[4]Func Study'!$AB$644</definedName>
    <definedName name="UAcct556">'[4]Func Study'!$AB$650</definedName>
    <definedName name="UAcct557">'[4]Func Study'!$AB$659</definedName>
    <definedName name="UACCT557SSGCT">'[4]Func Study'!$AB$657</definedName>
    <definedName name="UAcct560">'[4]Func Study'!$AB$682</definedName>
    <definedName name="UAcct561">'[4]Func Study'!$AB$686</definedName>
    <definedName name="UAcct562">'[4]Func Study'!$AB$690</definedName>
    <definedName name="UAcct563">'[4]Func Study'!$AB$694</definedName>
    <definedName name="UAcct564">'[4]Func Study'!$AB$698</definedName>
    <definedName name="UAcct565">'[4]Func Study'!$AB$703</definedName>
    <definedName name="UAcct565Se">'[4]Func Study'!$AB$702</definedName>
    <definedName name="UAcct566">'[4]Func Study'!$AB$707</definedName>
    <definedName name="UAcct567">'[4]Func Study'!$AB$711</definedName>
    <definedName name="UAcct568">'[4]Func Study'!$AB$715</definedName>
    <definedName name="UAcct569">'[4]Func Study'!$AB$719</definedName>
    <definedName name="UAcct570">'[4]Func Study'!$AB$723</definedName>
    <definedName name="UAcct571">'[4]Func Study'!$AB$727</definedName>
    <definedName name="UAcct572">'[4]Func Study'!$AB$731</definedName>
    <definedName name="UAcct573">'[4]Func Study'!$AB$735</definedName>
    <definedName name="UAcct580">'[4]Func Study'!$AB$748</definedName>
    <definedName name="UAcct581">'[4]Func Study'!$AB$753</definedName>
    <definedName name="UAcct582">'[4]Func Study'!$AB$758</definedName>
    <definedName name="UAcct583">'[4]Func Study'!$AB$763</definedName>
    <definedName name="UAcct584">'[4]Func Study'!$AB$768</definedName>
    <definedName name="UAcct585">'[4]Func Study'!$AB$773</definedName>
    <definedName name="UAcct586">'[4]Func Study'!$AB$778</definedName>
    <definedName name="UAcct587">'[4]Func Study'!$AB$783</definedName>
    <definedName name="UAcct588">'[4]Func Study'!$AB$788</definedName>
    <definedName name="UAcct589">'[4]Func Study'!$AB$793</definedName>
    <definedName name="UAcct590">'[4]Func Study'!$AB$798</definedName>
    <definedName name="UAcct591">'[4]Func Study'!$AB$803</definedName>
    <definedName name="UAcct592">'[4]Func Study'!$AB$808</definedName>
    <definedName name="UAcct593">'[4]Func Study'!$AB$813</definedName>
    <definedName name="UAcct594">'[4]Func Study'!$AB$818</definedName>
    <definedName name="UAcct595">'[4]Func Study'!$AB$823</definedName>
    <definedName name="UAcct596">'[4]Func Study'!$AB$833</definedName>
    <definedName name="UAcct597">'[4]Func Study'!$AB$838</definedName>
    <definedName name="UAcct598">'[4]Func Study'!$AB$843</definedName>
    <definedName name="UAcct901">'[4]Func Study'!$AB$855</definedName>
    <definedName name="UAcct902">'[4]Func Study'!$AB$860</definedName>
    <definedName name="UAcct903">'[4]Func Study'!$AB$865</definedName>
    <definedName name="UAcct904">'[4]Func Study'!$AB$871</definedName>
    <definedName name="UAcct905">'[4]Func Study'!$AB$876</definedName>
    <definedName name="UAcct907">'[4]Func Study'!$AB$890</definedName>
    <definedName name="UAcct908">'[4]Func Study'!$AB$895</definedName>
    <definedName name="UAcct909">'[4]Func Study'!$AB$900</definedName>
    <definedName name="UAcct910">'[4]Func Study'!$AB$905</definedName>
    <definedName name="UAcct911">'[4]Func Study'!$AB$916</definedName>
    <definedName name="UAcct912">'[4]Func Study'!$AB$921</definedName>
    <definedName name="UAcct913">'[4]Func Study'!$AB$926</definedName>
    <definedName name="UAcct916">'[4]Func Study'!$AB$931</definedName>
    <definedName name="UAcct920">'[4]Func Study'!$AB$942</definedName>
    <definedName name="UAcct920Cn">'[4]Func Study'!$AB$940</definedName>
    <definedName name="UAcct921">'[4]Func Study'!$AB$948</definedName>
    <definedName name="UAcct921Cn">'[4]Func Study'!$AB$946</definedName>
    <definedName name="UAcct923">'[4]Func Study'!$AB$954</definedName>
    <definedName name="UAcct923Cn">'[4]Func Study'!$AB$952</definedName>
    <definedName name="UAcct924">'[4]Func Study'!$AB$959</definedName>
    <definedName name="UAcct924S">[6]FuncStudy!$Y$722</definedName>
    <definedName name="UACCT924SG">'[4]Func Study'!$AB$958</definedName>
    <definedName name="UAcct924SO">[6]FuncStudy!$Y$724</definedName>
    <definedName name="UAcct925">'[4]Func Study'!$AB$963</definedName>
    <definedName name="UAcct926">'[4]Func Study'!$AB$969</definedName>
    <definedName name="UAcct927">'[4]Func Study'!$AB$974</definedName>
    <definedName name="UAcct928">'[4]Func Study'!$AB$981</definedName>
    <definedName name="UAcct928RE">'[4]Func Study'!$AB$983</definedName>
    <definedName name="UAcct929">'[4]Func Study'!$AB$988</definedName>
    <definedName name="UACCT930cn">'[4]Func Study'!$AB$992</definedName>
    <definedName name="UAcct930S">'[4]Func Study'!$AB$991</definedName>
    <definedName name="UAcct930So">'[4]Func Study'!$AB$993</definedName>
    <definedName name="UAcct931">'[4]Func Study'!$AB$999</definedName>
    <definedName name="UAcct935">'[4]Func Study'!$AB$1005</definedName>
    <definedName name="UAcctAGA">'[4]Func Study'!$AB$291</definedName>
    <definedName name="UAcctcwc">'[4]Func Study'!$AB$2163</definedName>
    <definedName name="UAcctd00">'[4]Func Study'!$AB$1817</definedName>
    <definedName name="UAcctdfad">'[4]Func Study'!$AB$392</definedName>
    <definedName name="UAcctdfap">'[4]Func Study'!$AB$390</definedName>
    <definedName name="UAcctdfat">'[4]Func Study'!$AB$391</definedName>
    <definedName name="UAcctds0">'[4]Func Study'!$AB$1821</definedName>
    <definedName name="uacctecdcoh">'[4]Func Study'!$AB$663</definedName>
    <definedName name="uacctecddgp">'[4]Func Study'!$AB$662</definedName>
    <definedName name="uacctecdmc">'[4]Func Study'!$AB$664</definedName>
    <definedName name="uacctecdqfsg">'[4]Func Study'!$AB$667</definedName>
    <definedName name="uacctecds">'[4]Func Study'!$AB$666</definedName>
    <definedName name="uacctecdsg">'[4]Func Study'!$AB$665</definedName>
    <definedName name="UAcctfit">'[4]Func Study'!$AB$1422</definedName>
    <definedName name="UAcctg00">'[4]Func Study'!$AB$1976</definedName>
    <definedName name="UAccth00">'[4]Func Study'!$AB$1578</definedName>
    <definedName name="UAccti00">'[4]Func Study'!$AB$2021</definedName>
    <definedName name="UAcctn00">'[4]Func Study'!$AB$1522</definedName>
    <definedName name="UAccto00">'[4]Func Study'!$AB$1638</definedName>
    <definedName name="UAcctowc">'[4]Func Study'!$AB$2175</definedName>
    <definedName name="uacctowcssech">'[4]Func Study'!$AB$2174</definedName>
    <definedName name="UAccts00">'[4]Func Study'!$AB$1481</definedName>
    <definedName name="UAcctSchM">'[4]Func Study'!$AB$1401</definedName>
    <definedName name="UAcctsttax">'[4]Func Study'!$AB$1405</definedName>
    <definedName name="UAcctt00">'[4]Func Study'!$AB$1713</definedName>
    <definedName name="UACT553SGW">[6]FuncStudy!$Y$421</definedName>
    <definedName name="UNBILREV" localSheetId="3">#REF!</definedName>
    <definedName name="UNBILREV">#REF!</definedName>
    <definedName name="UncollectibleAccounts">[11]Variables!$D$25</definedName>
    <definedName name="USBR" localSheetId="3">#REF!</definedName>
    <definedName name="USBR">#REF!</definedName>
    <definedName name="USCHMAFS">'[4]Func Study'!$AB$1302</definedName>
    <definedName name="USCHMAFSE">'[4]Func Study'!$AB$1305</definedName>
    <definedName name="USCHMAFSG">'[4]Func Study'!$AB$1307</definedName>
    <definedName name="USCHMAFSNP">'[4]Func Study'!$AB$1303</definedName>
    <definedName name="USCHMAFSO">'[4]Func Study'!$AB$1304</definedName>
    <definedName name="USCHMAFTROJP">'[4]Func Study'!$AB$1306</definedName>
    <definedName name="USCHMAPBADDEBT">'[4]Func Study'!$AB$1316</definedName>
    <definedName name="USCHMAPS">'[4]Func Study'!$AB$1311</definedName>
    <definedName name="USCHMAPSE">'[4]Func Study'!$AB$1312</definedName>
    <definedName name="USCHMAPSG">'[4]Func Study'!$AB$1315</definedName>
    <definedName name="USCHMAPSNP">'[4]Func Study'!$AB$1313</definedName>
    <definedName name="USCHMAPSO">'[4]Func Study'!$AB$1314</definedName>
    <definedName name="USCHMATBADDEBT">'[4]Func Study'!$AB$1331</definedName>
    <definedName name="USCHMATCIAC">'[4]Func Study'!$AB$1322</definedName>
    <definedName name="USCHMATGPS">'[4]Func Study'!$AB$1328</definedName>
    <definedName name="USCHMATS">'[4]Func Study'!$AB$1320</definedName>
    <definedName name="USCHMATSCHMDEXP">'[4]Func Study'!$AB$1333</definedName>
    <definedName name="USCHMATSE">'[4]Func Study'!$AB$1326</definedName>
    <definedName name="USCHMATSG">'[4]Func Study'!$AB$1325</definedName>
    <definedName name="USCHMATSG2">'[4]Func Study'!$AB$1327</definedName>
    <definedName name="USCHMATSGCT">'[4]Func Study'!$AB$1321</definedName>
    <definedName name="USCHMATSNP">'[4]Func Study'!$AB$1323</definedName>
    <definedName name="USCHMATSNPD">'[4]Func Study'!$AB$1330</definedName>
    <definedName name="USCHMATSO">'[4]Func Study'!$AB$1329</definedName>
    <definedName name="USCHMATTAXDEPR">'[4]Func Study'!$AB$1332</definedName>
    <definedName name="USCHMATTROJD">'[4]Func Study'!$AB$1324</definedName>
    <definedName name="USCHMDFDGP">'[4]Func Study'!$AB$1340</definedName>
    <definedName name="USCHMDFDGU">'[4]Func Study'!$AB$1341</definedName>
    <definedName name="USCHMDFS">'[4]Func Study'!$AB$1339</definedName>
    <definedName name="USCHMDPIBT">'[4]Func Study'!$AB$1347</definedName>
    <definedName name="USCHMDPS">'[4]Func Study'!$AB$1344</definedName>
    <definedName name="USCHMDPSE">'[4]Func Study'!$AB$1345</definedName>
    <definedName name="USCHMDPSG">'[4]Func Study'!$AB$1348</definedName>
    <definedName name="USCHMDPSNP">'[4]Func Study'!$AB$1346</definedName>
    <definedName name="USCHMDPSO">'[4]Func Study'!$AB$1349</definedName>
    <definedName name="USCHMDTBADDEBT">'[4]Func Study'!$AB$1354</definedName>
    <definedName name="USCHMDTCN">'[4]Func Study'!$AB$1356</definedName>
    <definedName name="USCHMDTDGP">'[4]Func Study'!$AB$1358</definedName>
    <definedName name="USCHMDTGPS">'[4]Func Study'!$AB$1361</definedName>
    <definedName name="USCHMDTS">'[4]Func Study'!$AB$1353</definedName>
    <definedName name="USCHMDTSE">'[4]Func Study'!$AB$1359</definedName>
    <definedName name="USCHMDTSG">'[4]Func Study'!$AB$1360</definedName>
    <definedName name="USCHMDTSNP">'[4]Func Study'!$AB$1355</definedName>
    <definedName name="USCHMDTSNPD">'[4]Func Study'!$AB$1364</definedName>
    <definedName name="USCHMDTSO">'[4]Func Study'!$AB$1362</definedName>
    <definedName name="USCHMDTTAXDEPR">'[4]Func Study'!$AB$1363</definedName>
    <definedName name="USCHMDTTROJD">'[4]Func Study'!$AB$1357</definedName>
    <definedName name="UT_305A_FY_2002" localSheetId="3">#REF!</definedName>
    <definedName name="UT_305A_FY_2002">#REF!</definedName>
    <definedName name="UT_RVN_0302" localSheetId="3">#REF!</definedName>
    <definedName name="UT_RVN_0302">#REF!</definedName>
    <definedName name="UtGrossReceipts">[11]Variables!$D$29</definedName>
    <definedName name="ValidAccount">[7]Variables!$AK$43:$AK$369</definedName>
    <definedName name="VAR" localSheetId="3">[17]Backup!#REF!</definedName>
    <definedName name="VAR">[17]Backup!#REF!</definedName>
    <definedName name="VARIABLE" localSheetId="3">[16]Summary!#REF!</definedName>
    <definedName name="VARIABLE">[16]Summary!#REF!</definedName>
    <definedName name="VOUCHER" localSheetId="3">#REF!</definedName>
    <definedName name="VOUCHER">#REF!</definedName>
    <definedName name="WaRevenueTax">[11]Variables!$D$27</definedName>
    <definedName name="WEATHER" localSheetId="3">#REF!</definedName>
    <definedName name="WEATHER">#REF!</definedName>
    <definedName name="WEATHRNORM" localSheetId="3">#REF!</definedName>
    <definedName name="WEATHRNORM">#REF!</definedName>
    <definedName name="WIDTH" localSheetId="3">#REF!</definedName>
    <definedName name="WIDTH">#REF!</definedName>
    <definedName name="WinterPeak">'[24]Load Data'!$D$9:$H$12,'[24]Load Data'!$D$20:$H$22</definedName>
    <definedName name="WN" localSheetId="3">#REF!</definedName>
    <definedName name="WN">#REF!</definedName>
    <definedName name="WORK1" localSheetId="3">#REF!</definedName>
    <definedName name="WORK1">#REF!</definedName>
    <definedName name="WORK2" localSheetId="3">#REF!</definedName>
    <definedName name="WORK2">#REF!</definedName>
    <definedName name="WORK3" localSheetId="3">#REF!</definedName>
    <definedName name="WORK3">#REF!</definedName>
    <definedName name="wrn.All._.Pages." hidden="1">{#N/A,#N/A,FALSE,"cover";#N/A,#N/A,FALSE,"lead sheet";#N/A,#N/A,FALSE,"Adj backup";#N/A,#N/A,FALSE,"t Accounts"}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'[25]Weather Present'!$K$7</definedName>
    <definedName name="Xfmr_Year1">[10]Variables!$C$20</definedName>
    <definedName name="Xfmr_Year2">[10]Variables!$D$20</definedName>
    <definedName name="XFMR_YR1">[12]Variables!$C$20</definedName>
    <definedName name="XFMR_YR2">[12]Variables!$D$20</definedName>
    <definedName name="y" localSheetId="3" hidden="1">'[3]DSM Output'!$B$21:$B$23</definedName>
    <definedName name="y" hidden="1">'[3]DSM Output'!$B$21:$B$23</definedName>
    <definedName name="Year" localSheetId="3">#REF!</definedName>
    <definedName name="Year">#REF!</definedName>
    <definedName name="YEFactors">[7]Factors!$S$3:$AG$99</definedName>
    <definedName name="z" localSheetId="3" hidden="1">'[3]DSM Output'!$G$21:$G$23</definedName>
    <definedName name="z" hidden="1">'[3]DSM Output'!$G$21:$G$23</definedName>
    <definedName name="ZA" localSheetId="3">'[26] annual balance '!#REF!</definedName>
    <definedName name="ZA">'[26] annual balance '!#REF!</definedName>
  </definedNames>
  <calcPr calcId="125725"/>
</workbook>
</file>

<file path=xl/calcChain.xml><?xml version="1.0" encoding="utf-8"?>
<calcChain xmlns="http://schemas.openxmlformats.org/spreadsheetml/2006/main">
  <c r="P392" i="2"/>
  <c r="M25" i="12" l="1"/>
  <c r="H24"/>
  <c r="O9" l="1"/>
  <c r="O10"/>
  <c r="O14"/>
  <c r="O15"/>
  <c r="O16"/>
  <c r="O22"/>
  <c r="O8"/>
  <c r="O11"/>
  <c r="O12"/>
  <c r="O13"/>
  <c r="O7"/>
  <c r="O17"/>
  <c r="O23"/>
  <c r="P23" s="1"/>
  <c r="O25"/>
  <c r="P25" s="1"/>
  <c r="G27" i="3"/>
  <c r="A16"/>
  <c r="G18"/>
  <c r="E12"/>
  <c r="I47"/>
  <c r="I48"/>
  <c r="K35"/>
  <c r="I35"/>
  <c r="I34"/>
  <c r="I32"/>
  <c r="I31"/>
  <c r="G45"/>
  <c r="I44"/>
  <c r="G44"/>
  <c r="G43"/>
  <c r="G42"/>
  <c r="I42"/>
  <c r="I25"/>
  <c r="I24"/>
  <c r="I21"/>
  <c r="I20"/>
  <c r="I16"/>
  <c r="N20" i="2"/>
  <c r="I48" i="1"/>
  <c r="I47"/>
  <c r="G45"/>
  <c r="I44"/>
  <c r="G44"/>
  <c r="I43"/>
  <c r="G43"/>
  <c r="I42"/>
  <c r="G42"/>
  <c r="G46" s="1"/>
  <c r="L38"/>
  <c r="L39" s="1"/>
  <c r="K35"/>
  <c r="I35"/>
  <c r="I34"/>
  <c r="I32"/>
  <c r="I31"/>
  <c r="I25"/>
  <c r="G27"/>
  <c r="I24"/>
  <c r="I21"/>
  <c r="I20"/>
  <c r="G23"/>
  <c r="I16"/>
  <c r="A16"/>
  <c r="I15"/>
  <c r="I18" s="1"/>
  <c r="G18"/>
  <c r="E12"/>
  <c r="O35" l="1"/>
  <c r="H21" i="12"/>
  <c r="J21" s="1"/>
  <c r="I41" i="3"/>
  <c r="I41" i="1"/>
  <c r="G50"/>
  <c r="K442" i="2"/>
  <c r="A17" i="1"/>
  <c r="A18" s="1"/>
  <c r="A20" s="1"/>
  <c r="I15" i="3"/>
  <c r="I43"/>
  <c r="K470" i="2"/>
  <c r="M48" i="3" s="1"/>
  <c r="G12" i="1"/>
  <c r="I12" s="1"/>
  <c r="K12" s="1"/>
  <c r="G12" i="3"/>
  <c r="A17"/>
  <c r="A18" s="1"/>
  <c r="K447" i="2"/>
  <c r="M35" i="3" s="1"/>
  <c r="O35" s="1"/>
  <c r="I12"/>
  <c r="G23"/>
  <c r="G46"/>
  <c r="K21" i="12" l="1"/>
  <c r="M34" i="3"/>
  <c r="K12"/>
  <c r="M12" s="1"/>
  <c r="O13" s="1"/>
  <c r="A21" i="1"/>
  <c r="G50" i="3"/>
  <c r="I45"/>
  <c r="I46" s="1"/>
  <c r="I45" i="1"/>
  <c r="K48" i="3"/>
  <c r="O48" s="1"/>
  <c r="K48" i="1"/>
  <c r="G28" i="3"/>
  <c r="G28" i="1"/>
  <c r="I18" i="3"/>
  <c r="K34"/>
  <c r="K34" i="1"/>
  <c r="K479" i="2"/>
  <c r="M47" i="3" s="1"/>
  <c r="G29"/>
  <c r="G29" i="1"/>
  <c r="K41" i="3"/>
  <c r="K41" i="1"/>
  <c r="A20" i="3"/>
  <c r="M12" i="1"/>
  <c r="O13" s="1"/>
  <c r="I46"/>
  <c r="O41" l="1"/>
  <c r="O34"/>
  <c r="H20" i="12"/>
  <c r="J20" s="1"/>
  <c r="O48" i="1"/>
  <c r="H19" i="12"/>
  <c r="J19" s="1"/>
  <c r="O34" i="3"/>
  <c r="A21"/>
  <c r="A22" s="1"/>
  <c r="A23" s="1"/>
  <c r="K42"/>
  <c r="K42" i="1"/>
  <c r="O42" s="1"/>
  <c r="I50" i="3"/>
  <c r="K44"/>
  <c r="K44" i="1"/>
  <c r="G30"/>
  <c r="G38"/>
  <c r="G30" i="3"/>
  <c r="G38"/>
  <c r="G39" s="1"/>
  <c r="G52" s="1"/>
  <c r="N21" i="2"/>
  <c r="N22"/>
  <c r="I50" i="1"/>
  <c r="K47" i="3"/>
  <c r="O47" s="1"/>
  <c r="K47" i="1"/>
  <c r="K45" i="3"/>
  <c r="K45" i="1"/>
  <c r="O12" i="3"/>
  <c r="A22" i="1"/>
  <c r="O47" l="1"/>
  <c r="H18" i="12"/>
  <c r="J18" s="1"/>
  <c r="H14"/>
  <c r="J14" s="1"/>
  <c r="O44" i="1"/>
  <c r="H13" i="12"/>
  <c r="J13" s="1"/>
  <c r="K19"/>
  <c r="K20"/>
  <c r="G51" i="3"/>
  <c r="K36"/>
  <c r="K36" i="1"/>
  <c r="I36"/>
  <c r="I36" i="3"/>
  <c r="K24"/>
  <c r="K24" i="1"/>
  <c r="K20" i="3"/>
  <c r="K20" i="1"/>
  <c r="K25" i="3"/>
  <c r="K25" i="1"/>
  <c r="K16" i="3"/>
  <c r="K16" i="1"/>
  <c r="K21" i="3"/>
  <c r="K21" i="1"/>
  <c r="I28" i="3"/>
  <c r="I28" i="1"/>
  <c r="G39"/>
  <c r="G52" s="1"/>
  <c r="G51"/>
  <c r="I22" i="3"/>
  <c r="I22" i="1"/>
  <c r="A23"/>
  <c r="K26" i="3"/>
  <c r="K26" i="1"/>
  <c r="A24" i="3"/>
  <c r="O12" i="1"/>
  <c r="A24"/>
  <c r="H9" i="12" l="1"/>
  <c r="J9" s="1"/>
  <c r="H22"/>
  <c r="J22" s="1"/>
  <c r="K13"/>
  <c r="K14"/>
  <c r="K18"/>
  <c r="K32" i="3"/>
  <c r="K32" i="1"/>
  <c r="K15" i="3"/>
  <c r="K15" i="1"/>
  <c r="I33" i="3"/>
  <c r="I33" i="1"/>
  <c r="N130" i="2"/>
  <c r="N204"/>
  <c r="I23" i="3"/>
  <c r="I29"/>
  <c r="I29" i="1"/>
  <c r="I30" s="1"/>
  <c r="K27" i="3"/>
  <c r="A25" i="1"/>
  <c r="A26" s="1"/>
  <c r="A27" s="1"/>
  <c r="A28" s="1"/>
  <c r="A25" i="3"/>
  <c r="K33"/>
  <c r="K33" i="1"/>
  <c r="K22" i="3"/>
  <c r="K22" i="1"/>
  <c r="K23" s="1"/>
  <c r="I26" i="3"/>
  <c r="I27" s="1"/>
  <c r="I26" i="1"/>
  <c r="I27" s="1"/>
  <c r="I23"/>
  <c r="K27"/>
  <c r="I30" i="3"/>
  <c r="H11" i="12" l="1"/>
  <c r="J11" s="1"/>
  <c r="H8"/>
  <c r="J8" s="1"/>
  <c r="H17"/>
  <c r="J17" s="1"/>
  <c r="H7"/>
  <c r="H16"/>
  <c r="J16" s="1"/>
  <c r="K22"/>
  <c r="K9"/>
  <c r="I38" i="1"/>
  <c r="I39" s="1"/>
  <c r="I52" s="1"/>
  <c r="K31" i="3"/>
  <c r="K31" i="1"/>
  <c r="N350" i="2"/>
  <c r="A26" i="3"/>
  <c r="A27" s="1"/>
  <c r="A28" s="1"/>
  <c r="K18" i="1"/>
  <c r="K18" i="3"/>
  <c r="K43"/>
  <c r="K43" i="1"/>
  <c r="I38" i="3"/>
  <c r="A29" i="1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K23" i="3"/>
  <c r="J7" i="12" l="1"/>
  <c r="O43" i="1"/>
  <c r="H10" i="12"/>
  <c r="J10" s="1"/>
  <c r="H15"/>
  <c r="J15" s="1"/>
  <c r="K16"/>
  <c r="K17"/>
  <c r="K8"/>
  <c r="K11"/>
  <c r="K28" i="3"/>
  <c r="K28" i="1"/>
  <c r="I51"/>
  <c r="A29" i="3"/>
  <c r="A30" s="1"/>
  <c r="K46"/>
  <c r="I39"/>
  <c r="I52" s="1"/>
  <c r="I51"/>
  <c r="K46" i="1"/>
  <c r="K15" i="12" l="1"/>
  <c r="K10"/>
  <c r="K7"/>
  <c r="K29" i="3"/>
  <c r="K29" i="1"/>
  <c r="A31" i="3"/>
  <c r="K50" i="1"/>
  <c r="K50" i="3"/>
  <c r="N258" i="2" l="1"/>
  <c r="K38" i="3"/>
  <c r="K30"/>
  <c r="K252" i="2"/>
  <c r="A32" i="3"/>
  <c r="K38" i="1"/>
  <c r="K39" s="1"/>
  <c r="K52" s="1"/>
  <c r="K30"/>
  <c r="H12" i="12" s="1"/>
  <c r="K137" i="2"/>
  <c r="J12" i="12" l="1"/>
  <c r="H25"/>
  <c r="A33" i="3"/>
  <c r="M42"/>
  <c r="O42" s="1"/>
  <c r="N203" i="2"/>
  <c r="K39" i="3"/>
  <c r="M41"/>
  <c r="O41" s="1"/>
  <c r="N129" i="2"/>
  <c r="K51" i="1"/>
  <c r="K51" i="3"/>
  <c r="K12" i="12" l="1"/>
  <c r="J25"/>
  <c r="N25"/>
  <c r="H26"/>
  <c r="N131" i="2"/>
  <c r="K52" i="3"/>
  <c r="N205" i="2"/>
  <c r="A34" i="3"/>
  <c r="K25" i="12" l="1"/>
  <c r="J26"/>
  <c r="K26" s="1"/>
  <c r="M21"/>
  <c r="N21" s="1"/>
  <c r="M19"/>
  <c r="N19" s="1"/>
  <c r="M20"/>
  <c r="M13"/>
  <c r="N13" s="1"/>
  <c r="M14"/>
  <c r="P14" s="1"/>
  <c r="M18"/>
  <c r="N18" s="1"/>
  <c r="M22"/>
  <c r="P22" s="1"/>
  <c r="M9"/>
  <c r="P9" s="1"/>
  <c r="M16"/>
  <c r="P16" s="1"/>
  <c r="M17"/>
  <c r="P17" s="1"/>
  <c r="M8"/>
  <c r="P8" s="1"/>
  <c r="M11"/>
  <c r="P11" s="1"/>
  <c r="M15"/>
  <c r="P15" s="1"/>
  <c r="M10"/>
  <c r="N10" s="1"/>
  <c r="M7"/>
  <c r="P7" s="1"/>
  <c r="M12"/>
  <c r="P12" s="1"/>
  <c r="A35" i="3"/>
  <c r="K355" i="2"/>
  <c r="M30" i="1" l="1"/>
  <c r="N12" i="12"/>
  <c r="M27" i="1"/>
  <c r="N11" i="12"/>
  <c r="M18" i="1"/>
  <c r="N7" i="12"/>
  <c r="M31" i="1"/>
  <c r="O31" s="1"/>
  <c r="N15" i="12"/>
  <c r="M23" i="1"/>
  <c r="N8" i="12"/>
  <c r="M32" i="1"/>
  <c r="O32" s="1"/>
  <c r="N16" i="12"/>
  <c r="M36" i="1"/>
  <c r="O36" s="1"/>
  <c r="N22" i="12"/>
  <c r="N14"/>
  <c r="M45" i="1"/>
  <c r="O45" s="1"/>
  <c r="N20" i="12"/>
  <c r="M26"/>
  <c r="N26" s="1"/>
  <c r="M33" i="1"/>
  <c r="N17" i="12"/>
  <c r="M24" i="1"/>
  <c r="N9" i="12"/>
  <c r="M44" i="3"/>
  <c r="O44" s="1"/>
  <c r="N349" i="2"/>
  <c r="A36" i="3"/>
  <c r="N142" i="2" l="1"/>
  <c r="N145" s="1"/>
  <c r="O24" i="1"/>
  <c r="N396" i="2"/>
  <c r="O33" i="1"/>
  <c r="M21"/>
  <c r="O21" s="1"/>
  <c r="O23"/>
  <c r="M20"/>
  <c r="M15"/>
  <c r="O18"/>
  <c r="O27"/>
  <c r="M25"/>
  <c r="M28"/>
  <c r="O28" s="1"/>
  <c r="O30"/>
  <c r="M29"/>
  <c r="O29" s="1"/>
  <c r="A37" i="3"/>
  <c r="N373" i="2"/>
  <c r="N376" s="1"/>
  <c r="N382"/>
  <c r="N385" s="1"/>
  <c r="I382" s="1"/>
  <c r="K346"/>
  <c r="N351"/>
  <c r="N358"/>
  <c r="N361" s="1"/>
  <c r="I359" s="1"/>
  <c r="K359" s="1"/>
  <c r="O359" s="1"/>
  <c r="M46" i="1"/>
  <c r="O46" s="1"/>
  <c r="N153" i="2" l="1"/>
  <c r="N156" s="1"/>
  <c r="O25" i="1"/>
  <c r="O15"/>
  <c r="O20"/>
  <c r="M26"/>
  <c r="O26" s="1"/>
  <c r="M16"/>
  <c r="O16" s="1"/>
  <c r="M22"/>
  <c r="O22" s="1"/>
  <c r="I388" i="2"/>
  <c r="I385"/>
  <c r="K385" s="1"/>
  <c r="O385" s="1"/>
  <c r="I383"/>
  <c r="K383" s="1"/>
  <c r="O383" s="1"/>
  <c r="K382"/>
  <c r="O382" s="1"/>
  <c r="I387"/>
  <c r="K387" s="1"/>
  <c r="O387" s="1"/>
  <c r="I386"/>
  <c r="K386" s="1"/>
  <c r="O386" s="1"/>
  <c r="I375"/>
  <c r="K375" s="1"/>
  <c r="O375" s="1"/>
  <c r="I367"/>
  <c r="K367" s="1"/>
  <c r="O367" s="1"/>
  <c r="I368"/>
  <c r="K368" s="1"/>
  <c r="O368" s="1"/>
  <c r="I374"/>
  <c r="K374" s="1"/>
  <c r="O374" s="1"/>
  <c r="I143"/>
  <c r="K143" s="1"/>
  <c r="O143" s="1"/>
  <c r="I142"/>
  <c r="K142" s="1"/>
  <c r="I145"/>
  <c r="K145" s="1"/>
  <c r="O145" s="1"/>
  <c r="I146"/>
  <c r="K146" s="1"/>
  <c r="O146" s="1"/>
  <c r="I147"/>
  <c r="K147" s="1"/>
  <c r="O147" s="1"/>
  <c r="M50" i="1"/>
  <c r="O50" s="1"/>
  <c r="M43" i="3"/>
  <c r="O43" s="1"/>
  <c r="N257" i="2"/>
  <c r="N163"/>
  <c r="N166" s="1"/>
  <c r="N89"/>
  <c r="N92" s="1"/>
  <c r="N68"/>
  <c r="N71" s="1"/>
  <c r="N178"/>
  <c r="N180" s="1"/>
  <c r="A38" i="3"/>
  <c r="M38" i="1" l="1"/>
  <c r="N12" i="2"/>
  <c r="O142"/>
  <c r="K149"/>
  <c r="I197"/>
  <c r="I176"/>
  <c r="I193"/>
  <c r="I181"/>
  <c r="I174"/>
  <c r="I190"/>
  <c r="I177"/>
  <c r="I192"/>
  <c r="I155"/>
  <c r="I156"/>
  <c r="I157"/>
  <c r="I158"/>
  <c r="I154"/>
  <c r="I82"/>
  <c r="K82" s="1"/>
  <c r="O82" s="1"/>
  <c r="I78"/>
  <c r="K78" s="1"/>
  <c r="O78" s="1"/>
  <c r="I70"/>
  <c r="K70" s="1"/>
  <c r="O70" s="1"/>
  <c r="I66"/>
  <c r="K66" s="1"/>
  <c r="O66" s="1"/>
  <c r="I81"/>
  <c r="K81" s="1"/>
  <c r="O81" s="1"/>
  <c r="I77"/>
  <c r="K77" s="1"/>
  <c r="I69"/>
  <c r="K69" s="1"/>
  <c r="O69" s="1"/>
  <c r="I65"/>
  <c r="K65" s="1"/>
  <c r="I165"/>
  <c r="I166"/>
  <c r="I93"/>
  <c r="K93" s="1"/>
  <c r="O93" s="1"/>
  <c r="I95"/>
  <c r="K95" s="1"/>
  <c r="O95" s="1"/>
  <c r="I94"/>
  <c r="K94" s="1"/>
  <c r="O94" s="1"/>
  <c r="I92"/>
  <c r="K92" s="1"/>
  <c r="A39" i="3"/>
  <c r="N259" i="2"/>
  <c r="M51" i="1"/>
  <c r="N15" i="2" l="1"/>
  <c r="I14" s="1"/>
  <c r="M39" i="1"/>
  <c r="O38"/>
  <c r="O92" i="2"/>
  <c r="K97"/>
  <c r="K73"/>
  <c r="O65"/>
  <c r="K85"/>
  <c r="O77"/>
  <c r="O51" i="1"/>
  <c r="N392" i="2"/>
  <c r="A41" i="3"/>
  <c r="I50" i="2" l="1"/>
  <c r="K50" s="1"/>
  <c r="O50" s="1"/>
  <c r="I31"/>
  <c r="K31" s="1"/>
  <c r="O31" s="1"/>
  <c r="K14"/>
  <c r="O14" s="1"/>
  <c r="I16"/>
  <c r="K16" s="1"/>
  <c r="O16" s="1"/>
  <c r="I15"/>
  <c r="I17"/>
  <c r="K17" s="1"/>
  <c r="O17" s="1"/>
  <c r="O39" i="1"/>
  <c r="M52"/>
  <c r="O52" s="1"/>
  <c r="K15" i="2"/>
  <c r="O15" s="1"/>
  <c r="I51"/>
  <c r="K51" s="1"/>
  <c r="O51" s="1"/>
  <c r="I32"/>
  <c r="K32" s="1"/>
  <c r="O32" s="1"/>
  <c r="I53"/>
  <c r="K53" s="1"/>
  <c r="A42" i="3"/>
  <c r="K388" i="2"/>
  <c r="O388" s="1"/>
  <c r="K361"/>
  <c r="I34" l="1"/>
  <c r="K34" s="1"/>
  <c r="O34" s="1"/>
  <c r="I52"/>
  <c r="K52" s="1"/>
  <c r="O52" s="1"/>
  <c r="I33"/>
  <c r="K33" s="1"/>
  <c r="O33" s="1"/>
  <c r="O53"/>
  <c r="K61"/>
  <c r="K25"/>
  <c r="K391"/>
  <c r="N381" s="1"/>
  <c r="I420"/>
  <c r="K420" s="1"/>
  <c r="O420" s="1"/>
  <c r="I422"/>
  <c r="K422" s="1"/>
  <c r="O422" s="1"/>
  <c r="K157"/>
  <c r="O157" s="1"/>
  <c r="K156"/>
  <c r="O156" s="1"/>
  <c r="K155"/>
  <c r="O155" s="1"/>
  <c r="K154"/>
  <c r="O154" s="1"/>
  <c r="M45" i="3"/>
  <c r="O45" s="1"/>
  <c r="N357" i="2"/>
  <c r="I419"/>
  <c r="K419" s="1"/>
  <c r="I423"/>
  <c r="K423" s="1"/>
  <c r="O423" s="1"/>
  <c r="A43" i="3"/>
  <c r="O419" i="2" l="1"/>
  <c r="N359"/>
  <c r="I458"/>
  <c r="K458" s="1"/>
  <c r="O458" s="1"/>
  <c r="I428"/>
  <c r="K428" s="1"/>
  <c r="O428" s="1"/>
  <c r="I461"/>
  <c r="K461" s="1"/>
  <c r="O461" s="1"/>
  <c r="I430"/>
  <c r="K430" s="1"/>
  <c r="O430" s="1"/>
  <c r="M16" i="3"/>
  <c r="O16" s="1"/>
  <c r="A44"/>
  <c r="M46"/>
  <c r="O46" s="1"/>
  <c r="I427" i="2"/>
  <c r="K427" s="1"/>
  <c r="I457"/>
  <c r="K457" s="1"/>
  <c r="O457" s="1"/>
  <c r="I429"/>
  <c r="K429" s="1"/>
  <c r="O429" s="1"/>
  <c r="I460"/>
  <c r="K460" s="1"/>
  <c r="O460" s="1"/>
  <c r="M32" i="3"/>
  <c r="O32" s="1"/>
  <c r="K42" i="2"/>
  <c r="O427" l="1"/>
  <c r="K192"/>
  <c r="O192" s="1"/>
  <c r="K177"/>
  <c r="O177" s="1"/>
  <c r="K181"/>
  <c r="K176"/>
  <c r="O176" s="1"/>
  <c r="K174"/>
  <c r="M15" i="3"/>
  <c r="N11" i="2"/>
  <c r="N383"/>
  <c r="I424"/>
  <c r="K424" s="1"/>
  <c r="M50" i="3"/>
  <c r="O50" s="1"/>
  <c r="A45"/>
  <c r="K158" i="2"/>
  <c r="O158" s="1"/>
  <c r="K370"/>
  <c r="K182" l="1"/>
  <c r="O181"/>
  <c r="K178"/>
  <c r="K184" s="1"/>
  <c r="O174"/>
  <c r="O424"/>
  <c r="N141"/>
  <c r="O15" i="3"/>
  <c r="I431" i="2"/>
  <c r="K431" s="1"/>
  <c r="I462"/>
  <c r="K462" s="1"/>
  <c r="O462" s="1"/>
  <c r="K160"/>
  <c r="M18" i="3"/>
  <c r="O18" s="1"/>
  <c r="K377" i="2"/>
  <c r="K378" s="1"/>
  <c r="A46" i="3"/>
  <c r="K165" i="2"/>
  <c r="O165" s="1"/>
  <c r="M24" i="3"/>
  <c r="O24" s="1"/>
  <c r="N13" i="2"/>
  <c r="K190"/>
  <c r="K197"/>
  <c r="O197" s="1"/>
  <c r="N152" l="1"/>
  <c r="O190"/>
  <c r="O431"/>
  <c r="K432"/>
  <c r="K434" s="1"/>
  <c r="M31" i="3"/>
  <c r="O31" s="1"/>
  <c r="N372" i="2"/>
  <c r="N143"/>
  <c r="A47" i="3"/>
  <c r="K198" i="2"/>
  <c r="M25" i="3"/>
  <c r="O25" s="1"/>
  <c r="N154" i="2" l="1"/>
  <c r="M21" i="3"/>
  <c r="O21" s="1"/>
  <c r="N88" i="2"/>
  <c r="N374"/>
  <c r="M28" i="3"/>
  <c r="O28" s="1"/>
  <c r="K193" i="2"/>
  <c r="K166"/>
  <c r="O166" s="1"/>
  <c r="A48" i="3"/>
  <c r="O193" i="2" l="1"/>
  <c r="K194"/>
  <c r="K200" s="1"/>
  <c r="N90"/>
  <c r="A49" i="3"/>
  <c r="K168" i="2"/>
  <c r="M20" i="3"/>
  <c r="O20" s="1"/>
  <c r="N67" i="2" l="1"/>
  <c r="M26" i="3"/>
  <c r="O26" s="1"/>
  <c r="N162" i="2"/>
  <c r="A50" i="3"/>
  <c r="M29"/>
  <c r="O29" s="1"/>
  <c r="N177" i="2"/>
  <c r="N179" l="1"/>
  <c r="M30" i="3"/>
  <c r="M27"/>
  <c r="N69" i="2"/>
  <c r="A51" i="3"/>
  <c r="N164" i="2"/>
  <c r="M22" i="3"/>
  <c r="O22" s="1"/>
  <c r="O30" l="1"/>
  <c r="O27"/>
  <c r="A52"/>
  <c r="K463" i="2"/>
  <c r="M23" i="3"/>
  <c r="O23" l="1"/>
  <c r="M36"/>
  <c r="O36" s="1"/>
  <c r="N395" i="2" l="1"/>
  <c r="K490" l="1"/>
  <c r="P391" s="1"/>
  <c r="P393" s="1"/>
  <c r="M33" i="3"/>
  <c r="O33" s="1"/>
  <c r="M38" l="1"/>
  <c r="O38" s="1"/>
  <c r="N397" i="2"/>
  <c r="M39" i="3" l="1"/>
  <c r="O39" s="1"/>
  <c r="M51"/>
  <c r="M55" s="1"/>
  <c r="O51" l="1"/>
  <c r="N391" i="2"/>
  <c r="N393" s="1"/>
  <c r="M52" i="3"/>
  <c r="O52" l="1"/>
</calcChain>
</file>

<file path=xl/sharedStrings.xml><?xml version="1.0" encoding="utf-8"?>
<sst xmlns="http://schemas.openxmlformats.org/spreadsheetml/2006/main" count="823" uniqueCount="398">
  <si>
    <t>TABLE  A</t>
  </si>
  <si>
    <t>Rocky Mountain Power</t>
  </si>
  <si>
    <t>on Revenues from Electric Sales to Ultimate Consumers in Utah</t>
  </si>
  <si>
    <t>No. of</t>
  </si>
  <si>
    <t xml:space="preserve">Present </t>
  </si>
  <si>
    <t>Proposed</t>
  </si>
  <si>
    <t>Line</t>
  </si>
  <si>
    <t>Sch</t>
  </si>
  <si>
    <t>Customers</t>
  </si>
  <si>
    <t>MWh</t>
  </si>
  <si>
    <t>Revenues</t>
  </si>
  <si>
    <t>No.</t>
  </si>
  <si>
    <t>Description</t>
  </si>
  <si>
    <t>Forecast</t>
  </si>
  <si>
    <t>($000)</t>
  </si>
  <si>
    <t>Change</t>
  </si>
  <si>
    <t>(%)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</si>
  <si>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</si>
  <si>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</si>
  <si>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</si>
  <si>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</si>
  <si>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</si>
  <si>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</si>
  <si>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</si>
  <si>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</si>
  <si>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</si>
  <si>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</si>
  <si>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</si>
  <si>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</si>
  <si>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</si>
  <si>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</si>
  <si>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</si>
  <si>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</si>
  <si>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</si>
  <si>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</si>
  <si>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</si>
  <si>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</si>
  <si>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</si>
  <si>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</si>
  <si>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</si>
  <si>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</si>
  <si>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Table A</t>
  </si>
  <si>
    <t>%</t>
  </si>
  <si>
    <t>Back-up, Maintenance, &amp; Supplementary</t>
  </si>
  <si>
    <t>Contract 1</t>
  </si>
  <si>
    <t>Contract 2</t>
  </si>
  <si>
    <t>Contract 3</t>
  </si>
  <si>
    <t>Total Commercial &amp; Industrial &amp; OSPA</t>
  </si>
  <si>
    <t>Total Commercial &amp; Industrial 
(excluding Contracts 1, 2,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</si>
  <si>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</si>
  <si>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</si>
  <si>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</si>
  <si>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</si>
  <si>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</si>
  <si>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</si>
  <si>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</si>
  <si>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</si>
  <si>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</si>
  <si>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</si>
  <si>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</si>
  <si>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Total Sales to Ultimate Customers 
(excluding Contracts 1, 2, AGA)</t>
  </si>
  <si>
    <t>Adj</t>
  </si>
  <si>
    <t>Rocky Mountain Power - State of Utah</t>
  </si>
  <si>
    <t>Blocking Based on Adjusted Actuals and Forecasted Loads</t>
  </si>
  <si>
    <t>Forecasted</t>
  </si>
  <si>
    <t>Revenue</t>
  </si>
  <si>
    <t>Units</t>
  </si>
  <si>
    <t>Price</t>
  </si>
  <si>
    <t>Dollars</t>
  </si>
  <si>
    <t>Schedule No. 1- Residential Service</t>
  </si>
  <si>
    <t>Res 1, 2, 3</t>
  </si>
  <si>
    <t xml:space="preserve">  Total Customer</t>
  </si>
  <si>
    <t>In Rate</t>
  </si>
  <si>
    <t xml:space="preserve">  Customer Charge - 1 Phase</t>
  </si>
  <si>
    <t>Target</t>
  </si>
  <si>
    <t xml:space="preserve">  Customer Charge - 3 Phase</t>
  </si>
  <si>
    <t>D</t>
  </si>
  <si>
    <t xml:space="preserve">  First 400 kWh (May-Sept)</t>
  </si>
  <si>
    <t>¢</t>
  </si>
  <si>
    <t>In Rate Change</t>
  </si>
  <si>
    <t xml:space="preserve">  Next 600 kWh (May-Sept)</t>
  </si>
  <si>
    <t>Target Change</t>
  </si>
  <si>
    <t xml:space="preserve">  All add'l kWh (May-Sept)</t>
  </si>
  <si>
    <t xml:space="preserve">  All kWh (Oct-Apr)</t>
  </si>
  <si>
    <t xml:space="preserve">  Minimum 1 Phase</t>
  </si>
  <si>
    <t xml:space="preserve">  Minimum 3 Phase</t>
  </si>
  <si>
    <t xml:space="preserve">  Minimum Seasonal</t>
  </si>
  <si>
    <t xml:space="preserve">Annual Avg Usage </t>
  </si>
  <si>
    <t xml:space="preserve">  kWh in Minimum</t>
  </si>
  <si>
    <t xml:space="preserve">Summer Avg Usage </t>
  </si>
  <si>
    <t xml:space="preserve">      kWh in Minimum - Summer</t>
  </si>
  <si>
    <t xml:space="preserve">Winter Avg Usage </t>
  </si>
  <si>
    <t xml:space="preserve">      kWh in Minimum - Winter</t>
  </si>
  <si>
    <t xml:space="preserve">  Unbilled</t>
  </si>
  <si>
    <t xml:space="preserve">  Total</t>
  </si>
  <si>
    <t>Schedule No. 3- Residential Service</t>
  </si>
  <si>
    <t>Net Change</t>
  </si>
  <si>
    <t>Schedule No. 2 - Residential Service Optional Time-of-Day</t>
  </si>
  <si>
    <t xml:space="preserve">  On-Peak kWh (May - Sept)</t>
  </si>
  <si>
    <t xml:space="preserve">  Off-Peak kWh (May - Sept)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</si>
  <si>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</si>
  <si>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</si>
  <si>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</si>
  <si>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</si>
  <si>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</si>
  <si>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</si>
  <si>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</si>
  <si>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</si>
  <si>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</si>
  <si>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 xml:space="preserve">      kWh (May-Sept)</t>
  </si>
  <si>
    <t xml:space="preserve">      kWh (Oct-Apr)</t>
  </si>
  <si>
    <t>Schedule No. 6B - Demand Time-of-Day Option - Composite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</si>
  <si>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</si>
  <si>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</si>
  <si>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</si>
  <si>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</si>
  <si>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</si>
  <si>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</si>
  <si>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</si>
  <si>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</si>
  <si>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</si>
  <si>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</si>
  <si>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</si>
  <si>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</si>
  <si>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</si>
  <si>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</si>
  <si>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</si>
  <si>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</si>
  <si>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</si>
  <si>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</si>
  <si>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</si>
  <si>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</si>
  <si>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</si>
  <si>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</si>
  <si>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</si>
  <si>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</si>
  <si>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</si>
  <si>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</si>
  <si>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</si>
  <si>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</si>
  <si>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</si>
  <si>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</si>
  <si>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</si>
  <si>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</si>
  <si>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</si>
  <si>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</si>
  <si>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</si>
  <si>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</si>
  <si>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</si>
  <si>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</si>
  <si>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Rate Change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</si>
  <si>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</si>
  <si>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</si>
  <si>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</si>
  <si>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</si>
  <si>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</si>
  <si>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</si>
  <si>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</si>
  <si>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</si>
  <si>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</si>
  <si>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>Schedule No. 9A - Energy TOD - Composite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</si>
  <si>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</si>
  <si>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</si>
  <si>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</si>
  <si>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</si>
  <si>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</si>
  <si>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</si>
  <si>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</si>
  <si>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</si>
  <si>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</si>
  <si>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</si>
  <si>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</si>
  <si>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</si>
  <si>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</si>
  <si>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</si>
  <si>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</si>
  <si>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</si>
  <si>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</si>
  <si>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</si>
  <si>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</si>
  <si>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</si>
  <si>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</si>
  <si>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</si>
  <si>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</si>
  <si>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</si>
  <si>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</si>
  <si>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</si>
  <si>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</si>
  <si>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</si>
  <si>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</si>
  <si>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</si>
  <si>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</si>
  <si>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</si>
  <si>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</si>
  <si>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</si>
  <si>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</si>
  <si>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</si>
  <si>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</si>
  <si>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</si>
  <si>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</si>
  <si>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</si>
  <si>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</si>
  <si>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</si>
  <si>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</si>
  <si>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</si>
  <si>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</si>
  <si>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</si>
  <si>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</si>
  <si>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</si>
  <si>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</si>
  <si>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</si>
  <si>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</si>
  <si>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</si>
  <si>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</si>
  <si>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</si>
  <si>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</si>
  <si>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</si>
  <si>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</si>
  <si>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</si>
  <si>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</si>
  <si>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</si>
  <si>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</si>
  <si>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</si>
  <si>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</si>
  <si>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</si>
  <si>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</si>
  <si>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</si>
  <si>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</si>
  <si>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</si>
  <si>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</si>
  <si>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</si>
  <si>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</si>
  <si>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</si>
  <si>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</si>
  <si>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</si>
  <si>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</si>
  <si>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</si>
  <si>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</si>
  <si>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</si>
  <si>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</si>
  <si>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</si>
  <si>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</si>
  <si>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</si>
  <si>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</si>
  <si>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</si>
  <si>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</si>
  <si>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</si>
  <si>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</si>
  <si>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</si>
  <si>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</si>
  <si>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</si>
  <si>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</si>
  <si>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</si>
  <si>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</si>
  <si>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</si>
  <si>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</si>
  <si>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</si>
  <si>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</si>
  <si>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</si>
  <si>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</si>
  <si>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</si>
  <si>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</si>
  <si>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</si>
  <si>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</si>
  <si>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</si>
  <si>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</si>
  <si>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</si>
  <si>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</si>
  <si>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</si>
  <si>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</si>
  <si>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</si>
  <si>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</si>
  <si>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</si>
  <si>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</si>
  <si>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</si>
  <si>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</si>
  <si>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</si>
  <si>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</si>
  <si>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</si>
  <si>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</si>
  <si>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</si>
  <si>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</si>
  <si>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</si>
  <si>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</si>
  <si>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</si>
  <si>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</si>
  <si>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</si>
  <si>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Distribution Voltage - Small Customer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</si>
  <si>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</si>
  <si>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</si>
  <si>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</si>
  <si>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</si>
  <si>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</si>
  <si>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</si>
  <si>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Adj (Sch 23)</t>
  </si>
  <si>
    <t>Schedule No.31 - Back-Up, Maintenance, and Supplementary Power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</si>
  <si>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</si>
  <si>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</si>
  <si>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</si>
  <si>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</si>
  <si>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</si>
  <si>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</si>
  <si>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</si>
  <si>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</si>
  <si>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</si>
  <si>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</si>
  <si>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</si>
  <si>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</si>
  <si>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</si>
  <si>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</si>
  <si>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</si>
  <si>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</si>
  <si>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</si>
  <si>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 xml:space="preserve">  Interruptible kWh</t>
  </si>
  <si>
    <t>Contract 3 - Composite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</si>
  <si>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</si>
  <si>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</si>
  <si>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</si>
  <si>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</si>
  <si>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</si>
  <si>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</si>
  <si>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</si>
  <si>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</si>
  <si>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</si>
  <si>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</si>
  <si>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</si>
  <si>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Rate No. 77 - Security Lighting, 08THIK0077</t>
  </si>
  <si>
    <t xml:space="preserve">  Customer</t>
  </si>
  <si>
    <t xml:space="preserve">  20,000 Mercury Vapor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</si>
  <si>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</si>
  <si>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</si>
  <si>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</si>
  <si>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</si>
  <si>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</si>
  <si>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</si>
  <si>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</si>
  <si>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</si>
  <si>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</si>
  <si>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</si>
  <si>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</si>
  <si>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</si>
  <si>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</si>
  <si>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Table  A</t>
  </si>
  <si>
    <t>Base Period 12 Months Ending June 2011</t>
  </si>
  <si>
    <t>Forecast Test Period 12 Months Ending May 2013</t>
  </si>
  <si>
    <t>GRC</t>
  </si>
  <si>
    <t>Present Rev</t>
  </si>
  <si>
    <t>Customer Class</t>
  </si>
  <si>
    <t>Residential (Schs. 1, 2, 3)</t>
  </si>
  <si>
    <t>General Service (Schs. 6, 6A, 6B)</t>
  </si>
  <si>
    <t>General Service &gt; 1 MW (Sch. 8)</t>
  </si>
  <si>
    <t>Lighting (Schs. 7,11,12)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</si>
  <si>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</si>
  <si>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</si>
  <si>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</si>
  <si>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</si>
  <si>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</si>
  <si>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</si>
  <si>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</si>
  <si>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</si>
  <si>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</si>
  <si>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</si>
  <si>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</si>
  <si>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Contract Customer 3**</t>
  </si>
  <si>
    <t>Contract Customer 4**</t>
  </si>
  <si>
    <t>Total Utah</t>
  </si>
  <si>
    <t>Total Utah (excl. Customer 1, 2, &amp; AGA)</t>
  </si>
  <si>
    <t>** The actual change will be based on the terms of the contract.</t>
  </si>
  <si>
    <t>EBA</t>
  </si>
  <si>
    <t>EBA Revenue</t>
  </si>
  <si>
    <t>Sch 6, 6B</t>
  </si>
  <si>
    <t>Incremental EBA Deferral</t>
  </si>
  <si>
    <t>$/MWh Differential</t>
  </si>
  <si>
    <t>Utah Load (MWh)</t>
  </si>
  <si>
    <t>Total Deferrable</t>
  </si>
  <si>
    <t>EBA Deferral at 70% Sharing</t>
  </si>
  <si>
    <t>EBA Deferral Account Balance</t>
  </si>
  <si>
    <t>Interest</t>
  </si>
  <si>
    <t>EBA Revenues</t>
  </si>
  <si>
    <t>Ending EBA Deferral Balance: Dec. 31, 2011</t>
  </si>
  <si>
    <t>Accrued Interest through June 1, 2012</t>
  </si>
  <si>
    <t>Stipulated Deferred Net Power Costs Amortization</t>
  </si>
  <si>
    <t>Requested EBA Recovery</t>
  </si>
  <si>
    <t>Estimated Effect of Proposed EBA Changes</t>
  </si>
  <si>
    <t>SCH 8/31</t>
  </si>
  <si>
    <t>Sch 9/31/Contracts 3</t>
  </si>
  <si>
    <t>Sch 31</t>
  </si>
  <si>
    <t>2011 GRC Settlement Exhibit A</t>
  </si>
  <si>
    <t>Proposed EBA</t>
  </si>
  <si>
    <t>Adj (Sch 8)</t>
  </si>
  <si>
    <t>Adj (Sch 9)</t>
  </si>
  <si>
    <t>Adjusted</t>
  </si>
  <si>
    <t>GRC Spread</t>
  </si>
  <si>
    <t>EBA Revenue Spread Calculation</t>
  </si>
  <si>
    <t>Actual EBA Rate ($/MWh)</t>
  </si>
  <si>
    <t>Base EBA Rate ($/MWh)</t>
  </si>
  <si>
    <t>Beginning EBA Deferral Balance: Oct 1, 2011</t>
  </si>
  <si>
    <t>Rounding</t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</si>
</sst>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.0000_);\(&quot;$&quot;#,##0.0000\)"/>
    <numFmt numFmtId="167" formatCode="_(&quot;$&quot;* #,##0_);_(&quot;$&quot;* \(#,##0\);_(&quot;$&quot;* &quot;-&quot;??_);_(@_)"/>
    <numFmt numFmtId="168" formatCode="&quot;$&quot;#,##0"/>
    <numFmt numFmtId="169" formatCode="0.0%"/>
    <numFmt numFmtId="170" formatCode="0.0000_);[Red]\(0.0000\)"/>
    <numFmt numFmtId="171" formatCode="0.0000_)"/>
    <numFmt numFmtId="172" formatCode="#,##0.0000"/>
    <numFmt numFmtId="173" formatCode="#,##0.00000_);\(#,##0.00000\)"/>
    <numFmt numFmtId="174" formatCode="#,##0.0000_);\(#,##0.0000\)"/>
    <numFmt numFmtId="175" formatCode="_(* #,##0.0000_);_(* \(#,##0.0000\);_(* &quot;-&quot;??_);_(@_)"/>
    <numFmt numFmtId="176" formatCode="0.0000"/>
    <numFmt numFmtId="177" formatCode="0.0"/>
    <numFmt numFmtId="178" formatCode="&quot;$&quot;#,##0.00"/>
    <numFmt numFmtId="179" formatCode="_(* #,##0.00_);_(* \(#,##0.00\);_(* &quot;-&quot;_);_(@_)"/>
    <numFmt numFmtId="180" formatCode="&quot;$&quot;###0;[Red]\(&quot;$&quot;###0\)"/>
  </numFmts>
  <fonts count="42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b/>
      <sz val="14"/>
      <color theme="1"/>
      <name val="Times New Roman"/>
      <family val="1"/>
    </font>
    <font>
      <sz val="12"/>
      <name val="Arial MT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rgb="FF0000FF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/>
    <xf numFmtId="164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165" fontId="5" fillId="0" borderId="0" applyFont="0" applyAlignment="0" applyProtection="0"/>
    <xf numFmtId="0" fontId="4" fillId="0" borderId="0">
      <alignment wrapText="1"/>
    </xf>
    <xf numFmtId="0" fontId="9" fillId="0" borderId="0"/>
    <xf numFmtId="0" fontId="2" fillId="0" borderId="0"/>
    <xf numFmtId="41" fontId="11" fillId="0" borderId="0" applyFont="0" applyFill="0" applyBorder="0" applyAlignment="0" applyProtection="0"/>
    <xf numFmtId="178" fontId="12" fillId="0" borderId="0"/>
    <xf numFmtId="0" fontId="13" fillId="0" borderId="0"/>
    <xf numFmtId="0" fontId="9" fillId="0" borderId="0"/>
    <xf numFmtId="0" fontId="2" fillId="0" borderId="0"/>
    <xf numFmtId="0" fontId="4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5" fillId="0" borderId="0">
      <alignment horizontal="lef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8" fillId="3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28" fillId="0" borderId="0" applyFont="0" applyFill="0" applyBorder="0" applyProtection="0">
      <alignment horizontal="right"/>
    </xf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30" fillId="0" borderId="18" applyNumberFormat="0" applyBorder="0" applyAlignment="0"/>
    <xf numFmtId="0" fontId="31" fillId="0" borderId="0"/>
    <xf numFmtId="12" fontId="32" fillId="5" borderId="19">
      <alignment horizontal="left"/>
    </xf>
    <xf numFmtId="9" fontId="4" fillId="0" borderId="0" applyFont="0" applyFill="0" applyBorder="0" applyAlignment="0" applyProtection="0"/>
    <xf numFmtId="4" fontId="18" fillId="6" borderId="20" applyNumberFormat="0" applyProtection="0">
      <alignment vertical="center"/>
    </xf>
    <xf numFmtId="4" fontId="33" fillId="7" borderId="20" applyNumberFormat="0" applyProtection="0">
      <alignment vertical="center"/>
    </xf>
    <xf numFmtId="4" fontId="18" fillId="7" borderId="20" applyNumberFormat="0" applyProtection="0">
      <alignment vertical="center"/>
    </xf>
    <xf numFmtId="0" fontId="18" fillId="7" borderId="20" applyNumberFormat="0" applyProtection="0">
      <alignment horizontal="left" vertical="top" indent="1"/>
    </xf>
    <xf numFmtId="4" fontId="34" fillId="8" borderId="20" applyNumberFormat="0" applyProtection="0">
      <alignment horizontal="right" vertical="center"/>
    </xf>
    <xf numFmtId="4" fontId="34" fillId="9" borderId="20" applyNumberFormat="0" applyProtection="0">
      <alignment horizontal="right" vertical="center"/>
    </xf>
    <xf numFmtId="4" fontId="34" fillId="10" borderId="20" applyNumberFormat="0" applyProtection="0">
      <alignment horizontal="right" vertical="center"/>
    </xf>
    <xf numFmtId="4" fontId="34" fillId="11" borderId="20" applyNumberFormat="0" applyProtection="0">
      <alignment horizontal="right" vertical="center"/>
    </xf>
    <xf numFmtId="4" fontId="34" fillId="12" borderId="20" applyNumberFormat="0" applyProtection="0">
      <alignment horizontal="right" vertical="center"/>
    </xf>
    <xf numFmtId="4" fontId="34" fillId="13" borderId="20" applyNumberFormat="0" applyProtection="0">
      <alignment horizontal="right" vertical="center"/>
    </xf>
    <xf numFmtId="4" fontId="34" fillId="14" borderId="20" applyNumberFormat="0" applyProtection="0">
      <alignment horizontal="right" vertical="center"/>
    </xf>
    <xf numFmtId="4" fontId="34" fillId="15" borderId="20" applyNumberFormat="0" applyProtection="0">
      <alignment horizontal="right" vertical="center"/>
    </xf>
    <xf numFmtId="4" fontId="34" fillId="16" borderId="20" applyNumberFormat="0" applyProtection="0">
      <alignment horizontal="right" vertical="center"/>
    </xf>
    <xf numFmtId="4" fontId="18" fillId="17" borderId="21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5" fillId="19" borderId="0" applyNumberFormat="0" applyProtection="0">
      <alignment horizontal="left" vertical="center" indent="1"/>
    </xf>
    <xf numFmtId="4" fontId="34" fillId="20" borderId="20" applyNumberFormat="0" applyProtection="0">
      <alignment horizontal="right" vertical="center"/>
    </xf>
    <xf numFmtId="4" fontId="36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4" fillId="19" borderId="20" applyNumberFormat="0" applyProtection="0">
      <alignment horizontal="left" vertical="center" indent="1"/>
    </xf>
    <xf numFmtId="0" fontId="4" fillId="19" borderId="20" applyNumberFormat="0" applyProtection="0">
      <alignment horizontal="left" vertical="top" indent="1"/>
    </xf>
    <xf numFmtId="0" fontId="4" fillId="3" borderId="20" applyNumberFormat="0" applyProtection="0">
      <alignment horizontal="left" vertical="center" indent="1"/>
    </xf>
    <xf numFmtId="0" fontId="4" fillId="3" borderId="20" applyNumberFormat="0" applyProtection="0">
      <alignment horizontal="left" vertical="top" indent="1"/>
    </xf>
    <xf numFmtId="0" fontId="4" fillId="21" borderId="20" applyNumberFormat="0" applyProtection="0">
      <alignment horizontal="left" vertical="center" indent="1"/>
    </xf>
    <xf numFmtId="0" fontId="4" fillId="21" borderId="20" applyNumberFormat="0" applyProtection="0">
      <alignment horizontal="left" vertical="top" indent="1"/>
    </xf>
    <xf numFmtId="0" fontId="4" fillId="22" borderId="20" applyNumberFormat="0" applyProtection="0">
      <alignment horizontal="left" vertical="center" indent="1"/>
    </xf>
    <xf numFmtId="0" fontId="4" fillId="22" borderId="20" applyNumberFormat="0" applyProtection="0">
      <alignment horizontal="left" vertical="top" indent="1"/>
    </xf>
    <xf numFmtId="4" fontId="34" fillId="23" borderId="20" applyNumberFormat="0" applyProtection="0">
      <alignment vertical="center"/>
    </xf>
    <xf numFmtId="4" fontId="38" fillId="23" borderId="20" applyNumberFormat="0" applyProtection="0">
      <alignment vertical="center"/>
    </xf>
    <xf numFmtId="4" fontId="34" fillId="23" borderId="20" applyNumberFormat="0" applyProtection="0">
      <alignment horizontal="left" vertical="center" indent="1"/>
    </xf>
    <xf numFmtId="0" fontId="34" fillId="23" borderId="20" applyNumberFormat="0" applyProtection="0">
      <alignment horizontal="left" vertical="top" indent="1"/>
    </xf>
    <xf numFmtId="4" fontId="34" fillId="24" borderId="22" applyNumberFormat="0" applyProtection="0">
      <alignment horizontal="right" vertical="center"/>
    </xf>
    <xf numFmtId="4" fontId="38" fillId="18" borderId="20" applyNumberFormat="0" applyProtection="0">
      <alignment horizontal="right" vertical="center"/>
    </xf>
    <xf numFmtId="4" fontId="34" fillId="20" borderId="20" applyNumberFormat="0" applyProtection="0">
      <alignment horizontal="left" vertical="center" indent="1"/>
    </xf>
    <xf numFmtId="0" fontId="34" fillId="3" borderId="20" applyNumberFormat="0" applyProtection="0">
      <alignment horizontal="center" vertical="top"/>
    </xf>
    <xf numFmtId="4" fontId="39" fillId="18" borderId="20" applyNumberFormat="0" applyProtection="0">
      <alignment horizontal="right" vertical="center"/>
    </xf>
    <xf numFmtId="37" fontId="30" fillId="7" borderId="0" applyNumberFormat="0" applyBorder="0" applyAlignment="0" applyProtection="0"/>
    <xf numFmtId="37" fontId="30" fillId="0" borderId="0"/>
    <xf numFmtId="3" fontId="40" fillId="25" borderId="23" applyProtection="0"/>
  </cellStyleXfs>
  <cellXfs count="312">
    <xf numFmtId="0" fontId="0" fillId="0" borderId="0" xfId="0"/>
    <xf numFmtId="164" fontId="3" fillId="0" borderId="0" xfId="4" applyNumberFormat="1" applyFont="1" applyAlignment="1">
      <alignment horizontal="centerContinuous"/>
    </xf>
    <xf numFmtId="164" fontId="3" fillId="0" borderId="0" xfId="4" applyNumberFormat="1" applyFont="1" applyFill="1" applyAlignment="1">
      <alignment horizontal="centerContinuous"/>
    </xf>
    <xf numFmtId="164" fontId="2" fillId="0" borderId="0" xfId="4" applyNumberFormat="1" applyFill="1" applyAlignment="1">
      <alignment horizontal="centerContinuous"/>
    </xf>
    <xf numFmtId="10" fontId="2" fillId="0" borderId="0" xfId="4" applyNumberFormat="1" applyFill="1" applyAlignment="1">
      <alignment horizontal="centerContinuous"/>
    </xf>
    <xf numFmtId="164" fontId="2" fillId="0" borderId="0" xfId="4" applyNumberFormat="1"/>
    <xf numFmtId="0" fontId="0" fillId="0" borderId="0" xfId="0" applyAlignment="1">
      <alignment horizontal="centerContinuous"/>
    </xf>
    <xf numFmtId="0" fontId="0" fillId="0" borderId="0" xfId="0" applyAlignment="1"/>
    <xf numFmtId="164" fontId="2" fillId="0" borderId="0" xfId="4" applyNumberFormat="1" applyAlignment="1">
      <alignment horizontal="centerContinuous"/>
    </xf>
    <xf numFmtId="164" fontId="3" fillId="0" borderId="0" xfId="4" applyNumberFormat="1" applyFont="1" applyFill="1" applyAlignment="1">
      <alignment horizontal="center"/>
    </xf>
    <xf numFmtId="164" fontId="3" fillId="0" borderId="0" xfId="4" applyNumberFormat="1" applyFont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Continuous"/>
    </xf>
    <xf numFmtId="164" fontId="3" fillId="0" borderId="0" xfId="4" applyNumberFormat="1" applyFont="1"/>
    <xf numFmtId="10" fontId="3" fillId="0" borderId="0" xfId="4" applyNumberFormat="1" applyFont="1" applyFill="1" applyBorder="1" applyAlignment="1">
      <alignment horizontal="centerContinuous"/>
    </xf>
    <xf numFmtId="164" fontId="3" fillId="0" borderId="1" xfId="4" applyNumberFormat="1" applyFont="1" applyBorder="1" applyAlignment="1">
      <alignment horizontal="center"/>
    </xf>
    <xf numFmtId="164" fontId="3" fillId="0" borderId="1" xfId="4" applyNumberFormat="1" applyFont="1" applyFill="1" applyBorder="1" applyAlignment="1">
      <alignment horizontal="center"/>
    </xf>
    <xf numFmtId="164" fontId="3" fillId="0" borderId="1" xfId="4" quotePrefix="1" applyNumberFormat="1" applyFont="1" applyFill="1" applyBorder="1" applyAlignment="1">
      <alignment horizontal="center"/>
    </xf>
    <xf numFmtId="10" fontId="3" fillId="0" borderId="1" xfId="4" applyNumberFormat="1" applyFont="1" applyFill="1" applyBorder="1" applyAlignment="1">
      <alignment horizontal="center"/>
    </xf>
    <xf numFmtId="37" fontId="3" fillId="0" borderId="0" xfId="4" quotePrefix="1" applyNumberFormat="1" applyFont="1" applyAlignment="1">
      <alignment horizontal="center"/>
    </xf>
    <xf numFmtId="37" fontId="3" fillId="0" borderId="0" xfId="4" quotePrefix="1" applyNumberFormat="1" applyFont="1" applyFill="1" applyAlignment="1">
      <alignment horizontal="center"/>
    </xf>
    <xf numFmtId="164" fontId="3" fillId="0" borderId="0" xfId="4" applyNumberFormat="1" applyFont="1" applyFill="1"/>
    <xf numFmtId="164" fontId="2" fillId="0" borderId="0" xfId="4" applyNumberFormat="1" applyFill="1"/>
    <xf numFmtId="10" fontId="2" fillId="0" borderId="0" xfId="4" applyNumberFormat="1" applyFill="1"/>
    <xf numFmtId="164" fontId="2" fillId="0" borderId="0" xfId="4" applyNumberFormat="1" applyFont="1" applyAlignment="1">
      <alignment horizontal="right"/>
    </xf>
    <xf numFmtId="165" fontId="2" fillId="0" borderId="0" xfId="1" applyNumberFormat="1" applyFont="1" applyFill="1"/>
    <xf numFmtId="5" fontId="2" fillId="0" borderId="0" xfId="2" applyNumberFormat="1" applyFont="1" applyFill="1"/>
    <xf numFmtId="5" fontId="2" fillId="0" borderId="0" xfId="4" applyNumberFormat="1" applyFill="1"/>
    <xf numFmtId="164" fontId="2" fillId="0" borderId="0" xfId="4" applyNumberFormat="1" applyAlignment="1">
      <alignment horizontal="right"/>
    </xf>
    <xf numFmtId="164" fontId="2" fillId="0" borderId="0" xfId="4" applyNumberFormat="1" applyFont="1"/>
    <xf numFmtId="164" fontId="2" fillId="0" borderId="0" xfId="4" applyNumberFormat="1" applyBorder="1" applyAlignment="1">
      <alignment horizontal="right"/>
    </xf>
    <xf numFmtId="164" fontId="2" fillId="0" borderId="1" xfId="4" applyNumberFormat="1" applyFill="1" applyBorder="1" applyAlignment="1">
      <alignment horizontal="right"/>
    </xf>
    <xf numFmtId="5" fontId="2" fillId="0" borderId="1" xfId="2" applyNumberFormat="1" applyFont="1" applyFill="1" applyBorder="1"/>
    <xf numFmtId="10" fontId="2" fillId="0" borderId="0" xfId="2" applyNumberFormat="1" applyFont="1" applyFill="1"/>
    <xf numFmtId="166" fontId="2" fillId="0" borderId="0" xfId="2" applyNumberFormat="1" applyFont="1" applyFill="1"/>
    <xf numFmtId="164" fontId="2" fillId="0" borderId="0" xfId="4" quotePrefix="1" applyNumberFormat="1" applyAlignment="1">
      <alignment horizontal="right"/>
    </xf>
    <xf numFmtId="165" fontId="2" fillId="0" borderId="1" xfId="1" applyNumberFormat="1" applyFont="1" applyFill="1" applyBorder="1"/>
    <xf numFmtId="164" fontId="6" fillId="0" borderId="0" xfId="4" applyNumberFormat="1" applyFont="1"/>
    <xf numFmtId="164" fontId="3" fillId="0" borderId="0" xfId="4" applyNumberFormat="1" applyFont="1" applyAlignment="1">
      <alignment wrapText="1"/>
    </xf>
    <xf numFmtId="3" fontId="2" fillId="0" borderId="0" xfId="4" applyNumberFormat="1" applyFill="1"/>
    <xf numFmtId="164" fontId="2" fillId="0" borderId="0" xfId="4" applyNumberFormat="1" applyBorder="1"/>
    <xf numFmtId="164" fontId="2" fillId="0" borderId="0" xfId="4" applyNumberFormat="1" applyFill="1" applyBorder="1"/>
    <xf numFmtId="165" fontId="2" fillId="0" borderId="0" xfId="1" applyNumberFormat="1" applyFont="1" applyFill="1" applyBorder="1"/>
    <xf numFmtId="5" fontId="2" fillId="0" borderId="0" xfId="2" applyNumberFormat="1" applyFont="1" applyFill="1" applyBorder="1"/>
    <xf numFmtId="5" fontId="2" fillId="0" borderId="0" xfId="4" applyNumberFormat="1" applyFill="1" applyBorder="1"/>
    <xf numFmtId="167" fontId="2" fillId="0" borderId="0" xfId="2" applyNumberFormat="1" applyFont="1" applyFill="1"/>
    <xf numFmtId="164" fontId="0" fillId="0" borderId="0" xfId="4" applyNumberFormat="1" applyFont="1"/>
    <xf numFmtId="167" fontId="2" fillId="0" borderId="0" xfId="4" applyNumberFormat="1" applyFill="1"/>
    <xf numFmtId="165" fontId="2" fillId="0" borderId="1" xfId="1" applyNumberFormat="1" applyFont="1" applyFill="1" applyBorder="1" applyAlignment="1">
      <alignment horizontal="right"/>
    </xf>
    <xf numFmtId="5" fontId="2" fillId="0" borderId="1" xfId="1" applyNumberFormat="1" applyFont="1" applyFill="1" applyBorder="1"/>
    <xf numFmtId="165" fontId="2" fillId="0" borderId="2" xfId="1" applyNumberFormat="1" applyFont="1" applyFill="1" applyBorder="1"/>
    <xf numFmtId="5" fontId="2" fillId="0" borderId="2" xfId="2" applyNumberFormat="1" applyFont="1" applyFill="1" applyBorder="1"/>
    <xf numFmtId="164" fontId="3" fillId="0" borderId="0" xfId="4" applyNumberFormat="1" applyFont="1" applyAlignment="1">
      <alignment horizontal="left" wrapText="1"/>
    </xf>
    <xf numFmtId="10" fontId="2" fillId="0" borderId="0" xfId="4" applyNumberFormat="1" applyFont="1" applyFill="1"/>
    <xf numFmtId="7" fontId="7" fillId="0" borderId="0" xfId="5" applyNumberFormat="1" applyFont="1" applyFill="1" applyProtection="1">
      <protection locked="0"/>
    </xf>
    <xf numFmtId="174" fontId="7" fillId="0" borderId="0" xfId="5" applyNumberFormat="1" applyFont="1" applyFill="1" applyProtection="1">
      <protection locked="0"/>
    </xf>
    <xf numFmtId="164" fontId="7" fillId="0" borderId="12" xfId="5" applyNumberFormat="1" applyFont="1" applyBorder="1"/>
    <xf numFmtId="37" fontId="7" fillId="0" borderId="0" xfId="5" applyNumberFormat="1" applyFont="1" applyFill="1" applyProtection="1"/>
    <xf numFmtId="37" fontId="7" fillId="0" borderId="10" xfId="5" applyNumberFormat="1" applyFont="1" applyFill="1" applyBorder="1" applyProtection="1"/>
    <xf numFmtId="164" fontId="3" fillId="0" borderId="0" xfId="4" applyFont="1" applyAlignment="1">
      <alignment horizontal="centerContinuous"/>
    </xf>
    <xf numFmtId="164" fontId="3" fillId="0" borderId="0" xfId="4" applyFont="1" applyFill="1" applyAlignment="1">
      <alignment horizontal="centerContinuous"/>
    </xf>
    <xf numFmtId="164" fontId="2" fillId="0" borderId="0" xfId="4" applyFill="1" applyAlignment="1">
      <alignment horizontal="centerContinuous"/>
    </xf>
    <xf numFmtId="169" fontId="2" fillId="0" borderId="0" xfId="4" applyNumberFormat="1" applyFill="1" applyAlignment="1">
      <alignment horizontal="centerContinuous"/>
    </xf>
    <xf numFmtId="164" fontId="2" fillId="0" borderId="0" xfId="4"/>
    <xf numFmtId="164" fontId="2" fillId="0" borderId="0" xfId="4" applyFill="1"/>
    <xf numFmtId="169" fontId="0" fillId="0" borderId="0" xfId="0" applyNumberFormat="1" applyAlignment="1">
      <alignment horizontal="centerContinuous"/>
    </xf>
    <xf numFmtId="164" fontId="2" fillId="0" borderId="0" xfId="4" applyAlignment="1">
      <alignment horizontal="centerContinuous"/>
    </xf>
    <xf numFmtId="169" fontId="2" fillId="0" borderId="0" xfId="4" applyNumberFormat="1" applyAlignment="1">
      <alignment horizontal="centerContinuous"/>
    </xf>
    <xf numFmtId="164" fontId="3" fillId="0" borderId="0" xfId="4" applyFont="1" applyFill="1" applyBorder="1" applyAlignment="1">
      <alignment horizontal="left"/>
    </xf>
    <xf numFmtId="164" fontId="3" fillId="0" borderId="0" xfId="4" applyFont="1" applyFill="1" applyAlignment="1">
      <alignment horizontal="center"/>
    </xf>
    <xf numFmtId="169" fontId="2" fillId="0" borderId="0" xfId="4" applyNumberFormat="1" applyFill="1"/>
    <xf numFmtId="164" fontId="3" fillId="0" borderId="0" xfId="4" applyFont="1" applyFill="1" applyBorder="1" applyAlignment="1">
      <alignment horizontal="center"/>
    </xf>
    <xf numFmtId="164" fontId="3" fillId="0" borderId="0" xfId="4" applyFont="1" applyAlignment="1">
      <alignment horizontal="center"/>
    </xf>
    <xf numFmtId="164" fontId="3" fillId="0" borderId="1" xfId="4" applyFont="1" applyFill="1" applyBorder="1" applyAlignment="1">
      <alignment horizontal="centerContinuous"/>
    </xf>
    <xf numFmtId="169" fontId="3" fillId="0" borderId="1" xfId="4" applyNumberFormat="1" applyFont="1" applyFill="1" applyBorder="1" applyAlignment="1">
      <alignment horizontal="centerContinuous"/>
    </xf>
    <xf numFmtId="164" fontId="3" fillId="0" borderId="0" xfId="4" applyFont="1"/>
    <xf numFmtId="164" fontId="3" fillId="0" borderId="0" xfId="4" applyFont="1" applyFill="1"/>
    <xf numFmtId="164" fontId="3" fillId="0" borderId="1" xfId="4" applyFont="1" applyBorder="1" applyAlignment="1">
      <alignment horizontal="center"/>
    </xf>
    <xf numFmtId="164" fontId="3" fillId="0" borderId="1" xfId="4" applyFont="1" applyFill="1" applyBorder="1" applyAlignment="1">
      <alignment horizontal="center"/>
    </xf>
    <xf numFmtId="164" fontId="3" fillId="0" borderId="1" xfId="4" quotePrefix="1" applyFont="1" applyFill="1" applyBorder="1" applyAlignment="1">
      <alignment horizontal="center"/>
    </xf>
    <xf numFmtId="169" fontId="3" fillId="0" borderId="1" xfId="4" applyNumberFormat="1" applyFont="1" applyFill="1" applyBorder="1" applyAlignment="1">
      <alignment horizontal="center"/>
    </xf>
    <xf numFmtId="169" fontId="3" fillId="0" borderId="0" xfId="4" applyNumberFormat="1" applyFont="1" applyFill="1" applyAlignment="1">
      <alignment horizontal="center"/>
    </xf>
    <xf numFmtId="164" fontId="2" fillId="0" borderId="0" xfId="4" applyBorder="1"/>
    <xf numFmtId="164" fontId="2" fillId="0" borderId="0" xfId="4" applyFont="1" applyAlignment="1">
      <alignment horizontal="right"/>
    </xf>
    <xf numFmtId="169" fontId="2" fillId="0" borderId="0" xfId="2" applyNumberFormat="1" applyFont="1" applyFill="1"/>
    <xf numFmtId="164" fontId="2" fillId="0" borderId="0" xfId="4" applyAlignment="1">
      <alignment horizontal="right"/>
    </xf>
    <xf numFmtId="164" fontId="2" fillId="0" borderId="0" xfId="4" applyFont="1"/>
    <xf numFmtId="164" fontId="2" fillId="0" borderId="0" xfId="4" applyBorder="1" applyAlignment="1">
      <alignment horizontal="right"/>
    </xf>
    <xf numFmtId="164" fontId="2" fillId="0" borderId="1" xfId="4" applyFill="1" applyBorder="1" applyAlignment="1">
      <alignment horizontal="right"/>
    </xf>
    <xf numFmtId="169" fontId="2" fillId="0" borderId="1" xfId="2" applyNumberFormat="1" applyFont="1" applyFill="1" applyBorder="1"/>
    <xf numFmtId="164" fontId="2" fillId="0" borderId="0" xfId="4" quotePrefix="1" applyAlignment="1">
      <alignment horizontal="right"/>
    </xf>
    <xf numFmtId="164" fontId="6" fillId="0" borderId="0" xfId="4" applyFont="1"/>
    <xf numFmtId="164" fontId="3" fillId="0" borderId="0" xfId="4" applyFont="1" applyAlignment="1">
      <alignment wrapText="1"/>
    </xf>
    <xf numFmtId="164" fontId="2" fillId="0" borderId="0" xfId="4" applyFill="1" applyBorder="1"/>
    <xf numFmtId="169" fontId="2" fillId="0" borderId="0" xfId="2" applyNumberFormat="1" applyFont="1" applyFill="1" applyBorder="1"/>
    <xf numFmtId="164" fontId="0" fillId="0" borderId="0" xfId="4" applyFont="1"/>
    <xf numFmtId="169" fontId="2" fillId="0" borderId="2" xfId="2" applyNumberFormat="1" applyFont="1" applyFill="1" applyBorder="1"/>
    <xf numFmtId="164" fontId="3" fillId="0" borderId="0" xfId="4" applyFont="1" applyAlignment="1">
      <alignment horizontal="left" wrapText="1"/>
    </xf>
    <xf numFmtId="3" fontId="20" fillId="0" borderId="0" xfId="0" applyNumberFormat="1" applyFont="1" applyAlignment="1">
      <alignment horizontal="centerContinuous"/>
    </xf>
    <xf numFmtId="164" fontId="16" fillId="0" borderId="0" xfId="5" applyNumberFormat="1" applyFont="1" applyFill="1" applyAlignment="1">
      <alignment horizontal="centerContinuous"/>
    </xf>
    <xf numFmtId="164" fontId="16" fillId="0" borderId="0" xfId="5" applyNumberFormat="1" applyFont="1" applyFill="1" applyBorder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16" fillId="0" borderId="0" xfId="5" applyNumberFormat="1" applyFont="1" applyFill="1" applyBorder="1" applyAlignment="1">
      <alignment horizontal="center"/>
    </xf>
    <xf numFmtId="164" fontId="21" fillId="0" borderId="0" xfId="5" applyNumberFormat="1" applyFont="1" applyFill="1" applyBorder="1" applyAlignment="1">
      <alignment horizontal="right"/>
    </xf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/>
    <xf numFmtId="164" fontId="21" fillId="0" borderId="0" xfId="5" applyNumberFormat="1" applyFont="1" applyFill="1" applyBorder="1" applyAlignment="1">
      <alignment horizontal="center"/>
    </xf>
    <xf numFmtId="164" fontId="21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/>
    <xf numFmtId="164" fontId="7" fillId="0" borderId="0" xfId="5" applyNumberFormat="1" applyFont="1" applyFill="1" applyBorder="1"/>
    <xf numFmtId="164" fontId="21" fillId="0" borderId="0" xfId="5" applyNumberFormat="1" applyFont="1" applyFill="1" applyBorder="1"/>
    <xf numFmtId="37" fontId="21" fillId="0" borderId="0" xfId="5" applyNumberFormat="1" applyFont="1" applyFill="1" applyProtection="1"/>
    <xf numFmtId="164" fontId="21" fillId="0" borderId="0" xfId="5" applyNumberFormat="1" applyFont="1" applyFill="1" applyAlignment="1">
      <alignment horizontal="center"/>
    </xf>
    <xf numFmtId="37" fontId="21" fillId="0" borderId="0" xfId="5" applyNumberFormat="1" applyFont="1" applyFill="1" applyAlignment="1" applyProtection="1">
      <alignment horizontal="center"/>
    </xf>
    <xf numFmtId="5" fontId="7" fillId="0" borderId="0" xfId="5" applyNumberFormat="1" applyFont="1" applyFill="1" applyProtection="1"/>
    <xf numFmtId="37" fontId="21" fillId="0" borderId="0" xfId="5" applyNumberFormat="1" applyFont="1" applyFill="1" applyBorder="1" applyAlignment="1" applyProtection="1">
      <alignment horizontal="center"/>
    </xf>
    <xf numFmtId="37" fontId="21" fillId="0" borderId="1" xfId="5" quotePrefix="1" applyNumberFormat="1" applyFont="1" applyFill="1" applyBorder="1" applyAlignment="1" applyProtection="1">
      <alignment horizontal="center"/>
    </xf>
    <xf numFmtId="164" fontId="21" fillId="0" borderId="10" xfId="5" quotePrefix="1" applyNumberFormat="1" applyFont="1" applyFill="1" applyBorder="1" applyAlignment="1">
      <alignment horizontal="center"/>
    </xf>
    <xf numFmtId="164" fontId="21" fillId="0" borderId="10" xfId="5" applyNumberFormat="1" applyFont="1" applyFill="1" applyBorder="1" applyAlignment="1">
      <alignment horizontal="center"/>
    </xf>
    <xf numFmtId="10" fontId="7" fillId="0" borderId="0" xfId="3" quotePrefix="1" applyNumberFormat="1" applyFont="1" applyFill="1"/>
    <xf numFmtId="37" fontId="7" fillId="0" borderId="0" xfId="5" applyNumberFormat="1" applyFont="1" applyFill="1" applyProtection="1">
      <protection locked="0"/>
    </xf>
    <xf numFmtId="10" fontId="7" fillId="0" borderId="0" xfId="3" applyNumberFormat="1" applyFont="1" applyFill="1"/>
    <xf numFmtId="164" fontId="21" fillId="0" borderId="0" xfId="5" applyNumberFormat="1" applyFont="1" applyFill="1" applyAlignment="1">
      <alignment horizontal="left"/>
    </xf>
    <xf numFmtId="164" fontId="7" fillId="0" borderId="11" xfId="5" applyNumberFormat="1" applyFont="1" applyFill="1" applyBorder="1"/>
    <xf numFmtId="164" fontId="7" fillId="0" borderId="0" xfId="5" applyNumberFormat="1" applyFont="1" applyBorder="1"/>
    <xf numFmtId="164" fontId="7" fillId="0" borderId="0" xfId="5" applyNumberFormat="1" applyFont="1" applyFill="1" applyAlignment="1">
      <alignment horizontal="left"/>
    </xf>
    <xf numFmtId="7" fontId="7" fillId="0" borderId="0" xfId="5" applyNumberFormat="1" applyFont="1" applyFill="1" applyBorder="1" applyProtection="1">
      <protection locked="0"/>
    </xf>
    <xf numFmtId="164" fontId="7" fillId="0" borderId="3" xfId="5" applyNumberFormat="1" applyFont="1" applyBorder="1"/>
    <xf numFmtId="5" fontId="7" fillId="0" borderId="5" xfId="5" applyNumberFormat="1" applyFont="1" applyFill="1" applyBorder="1" applyProtection="1"/>
    <xf numFmtId="169" fontId="7" fillId="0" borderId="0" xfId="3" applyNumberFormat="1" applyFont="1" applyBorder="1"/>
    <xf numFmtId="37" fontId="7" fillId="0" borderId="0" xfId="5" applyNumberFormat="1" applyFont="1" applyFill="1" applyBorder="1" applyProtection="1"/>
    <xf numFmtId="164" fontId="7" fillId="0" borderId="6" xfId="5" applyNumberFormat="1" applyFont="1" applyBorder="1"/>
    <xf numFmtId="5" fontId="7" fillId="0" borderId="7" xfId="5" applyNumberFormat="1" applyFont="1" applyFill="1" applyBorder="1" applyProtection="1"/>
    <xf numFmtId="164" fontId="22" fillId="0" borderId="9" xfId="5" applyNumberFormat="1" applyFont="1" applyBorder="1"/>
    <xf numFmtId="5" fontId="7" fillId="0" borderId="8" xfId="5" applyNumberFormat="1" applyFont="1" applyFill="1" applyBorder="1" applyProtection="1"/>
    <xf numFmtId="170" fontId="7" fillId="0" borderId="0" xfId="5" applyNumberFormat="1" applyFont="1" applyFill="1" applyProtection="1">
      <protection locked="0"/>
    </xf>
    <xf numFmtId="0" fontId="7" fillId="0" borderId="0" xfId="0" applyFont="1" applyBorder="1"/>
    <xf numFmtId="164" fontId="7" fillId="0" borderId="3" xfId="5" applyNumberFormat="1" applyFont="1" applyFill="1" applyBorder="1"/>
    <xf numFmtId="169" fontId="7" fillId="0" borderId="5" xfId="5" applyNumberFormat="1" applyFont="1" applyBorder="1"/>
    <xf numFmtId="164" fontId="7" fillId="0" borderId="6" xfId="5" applyNumberFormat="1" applyFont="1" applyFill="1" applyBorder="1"/>
    <xf numFmtId="169" fontId="7" fillId="0" borderId="7" xfId="5" applyNumberFormat="1" applyFont="1" applyBorder="1"/>
    <xf numFmtId="169" fontId="7" fillId="0" borderId="7" xfId="1" applyNumberFormat="1" applyFont="1" applyBorder="1"/>
    <xf numFmtId="169" fontId="7" fillId="0" borderId="0" xfId="5" applyNumberFormat="1" applyFont="1" applyBorder="1"/>
    <xf numFmtId="171" fontId="7" fillId="0" borderId="0" xfId="5" applyNumberFormat="1" applyFont="1" applyFill="1" applyProtection="1">
      <protection locked="0"/>
    </xf>
    <xf numFmtId="9" fontId="7" fillId="0" borderId="7" xfId="5" applyNumberFormat="1" applyFont="1" applyBorder="1"/>
    <xf numFmtId="7" fontId="7" fillId="0" borderId="0" xfId="5" applyNumberFormat="1" applyFont="1" applyFill="1" applyBorder="1" applyProtection="1"/>
    <xf numFmtId="7" fontId="7" fillId="0" borderId="0" xfId="5" applyNumberFormat="1" applyFont="1" applyFill="1" applyProtection="1"/>
    <xf numFmtId="5" fontId="7" fillId="0" borderId="0" xfId="5" applyNumberFormat="1" applyFont="1" applyFill="1" applyBorder="1" applyProtection="1"/>
    <xf numFmtId="3" fontId="7" fillId="0" borderId="5" xfId="0" applyNumberFormat="1" applyFont="1" applyBorder="1"/>
    <xf numFmtId="164" fontId="7" fillId="0" borderId="0" xfId="5" applyNumberFormat="1" applyFont="1" applyFill="1" applyBorder="1" applyAlignment="1">
      <alignment horizontal="left"/>
    </xf>
    <xf numFmtId="3" fontId="7" fillId="0" borderId="7" xfId="0" applyNumberFormat="1" applyFont="1" applyBorder="1"/>
    <xf numFmtId="164" fontId="7" fillId="0" borderId="9" xfId="5" applyNumberFormat="1" applyFont="1" applyFill="1" applyBorder="1"/>
    <xf numFmtId="3" fontId="7" fillId="0" borderId="8" xfId="0" applyNumberFormat="1" applyFont="1" applyBorder="1"/>
    <xf numFmtId="172" fontId="7" fillId="0" borderId="8" xfId="5" applyNumberFormat="1" applyFont="1" applyBorder="1"/>
    <xf numFmtId="5" fontId="7" fillId="0" borderId="10" xfId="5" applyNumberFormat="1" applyFont="1" applyFill="1" applyBorder="1" applyProtection="1"/>
    <xf numFmtId="0" fontId="7" fillId="0" borderId="0" xfId="0" applyFont="1"/>
    <xf numFmtId="37" fontId="7" fillId="0" borderId="2" xfId="5" applyNumberFormat="1" applyFont="1" applyFill="1" applyBorder="1" applyProtection="1"/>
    <xf numFmtId="164" fontId="7" fillId="0" borderId="2" xfId="5" applyNumberFormat="1" applyFont="1" applyFill="1" applyBorder="1"/>
    <xf numFmtId="5" fontId="7" fillId="0" borderId="2" xfId="5" applyNumberFormat="1" applyFont="1" applyFill="1" applyBorder="1" applyProtection="1"/>
    <xf numFmtId="173" fontId="7" fillId="0" borderId="0" xfId="5" applyNumberFormat="1" applyFont="1" applyFill="1" applyProtection="1"/>
    <xf numFmtId="171" fontId="7" fillId="0" borderId="0" xfId="5" applyNumberFormat="1" applyFont="1" applyFill="1" applyBorder="1" applyProtection="1">
      <protection locked="0"/>
    </xf>
    <xf numFmtId="10" fontId="7" fillId="0" borderId="0" xfId="5" applyNumberFormat="1" applyFont="1"/>
    <xf numFmtId="3" fontId="7" fillId="0" borderId="0" xfId="0" applyNumberFormat="1" applyFont="1"/>
    <xf numFmtId="164" fontId="7" fillId="0" borderId="13" xfId="5" applyNumberFormat="1" applyFont="1" applyFill="1" applyBorder="1"/>
    <xf numFmtId="5" fontId="7" fillId="0" borderId="13" xfId="5" applyNumberFormat="1" applyFont="1" applyFill="1" applyBorder="1" applyProtection="1"/>
    <xf numFmtId="175" fontId="7" fillId="0" borderId="0" xfId="1" applyNumberFormat="1" applyFont="1"/>
    <xf numFmtId="171" fontId="7" fillId="0" borderId="0" xfId="5" applyNumberFormat="1" applyFont="1" applyFill="1" applyProtection="1"/>
    <xf numFmtId="10" fontId="7" fillId="0" borderId="5" xfId="5" applyNumberFormat="1" applyFont="1" applyBorder="1"/>
    <xf numFmtId="10" fontId="7" fillId="0" borderId="7" xfId="5" applyNumberFormat="1" applyFont="1" applyBorder="1"/>
    <xf numFmtId="37" fontId="7" fillId="0" borderId="13" xfId="5" applyNumberFormat="1" applyFont="1" applyFill="1" applyBorder="1" applyProtection="1"/>
    <xf numFmtId="10" fontId="7" fillId="0" borderId="8" xfId="5" applyNumberFormat="1" applyFont="1" applyBorder="1"/>
    <xf numFmtId="10" fontId="7" fillId="0" borderId="0" xfId="5" applyNumberFormat="1" applyFont="1" applyBorder="1"/>
    <xf numFmtId="171" fontId="7" fillId="0" borderId="0" xfId="5" applyNumberFormat="1" applyFont="1" applyFill="1" applyBorder="1" applyProtection="1"/>
    <xf numFmtId="37" fontId="7" fillId="0" borderId="8" xfId="5" applyNumberFormat="1" applyFont="1" applyFill="1" applyBorder="1" applyProtection="1"/>
    <xf numFmtId="174" fontId="7" fillId="0" borderId="0" xfId="5" applyNumberFormat="1" applyFont="1" applyFill="1" applyProtection="1"/>
    <xf numFmtId="164" fontId="23" fillId="0" borderId="0" xfId="5" applyNumberFormat="1" applyFont="1" applyFill="1" applyAlignment="1">
      <alignment horizontal="left"/>
    </xf>
    <xf numFmtId="164" fontId="7" fillId="0" borderId="0" xfId="5" quotePrefix="1" applyNumberFormat="1" applyFont="1"/>
    <xf numFmtId="10" fontId="7" fillId="0" borderId="12" xfId="5" applyNumberFormat="1" applyFont="1" applyBorder="1"/>
    <xf numFmtId="37" fontId="7" fillId="0" borderId="1" xfId="5" applyNumberFormat="1" applyFont="1" applyFill="1" applyBorder="1" applyProtection="1">
      <protection locked="0"/>
    </xf>
    <xf numFmtId="164" fontId="7" fillId="0" borderId="1" xfId="5" applyNumberFormat="1" applyFont="1" applyFill="1" applyBorder="1"/>
    <xf numFmtId="5" fontId="7" fillId="0" borderId="1" xfId="5" applyNumberFormat="1" applyFont="1" applyFill="1" applyBorder="1" applyProtection="1"/>
    <xf numFmtId="37" fontId="7" fillId="0" borderId="2" xfId="5" applyNumberFormat="1" applyFont="1" applyFill="1" applyBorder="1" applyProtection="1">
      <protection locked="0"/>
    </xf>
    <xf numFmtId="172" fontId="7" fillId="0" borderId="0" xfId="5" applyNumberFormat="1" applyFont="1" applyFill="1" applyProtection="1">
      <protection locked="0"/>
    </xf>
    <xf numFmtId="169" fontId="7" fillId="0" borderId="8" xfId="5" applyNumberFormat="1" applyFont="1" applyBorder="1"/>
    <xf numFmtId="164" fontId="7" fillId="0" borderId="0" xfId="5" applyNumberFormat="1" applyFont="1" applyFill="1" applyProtection="1">
      <protection locked="0"/>
    </xf>
    <xf numFmtId="176" fontId="7" fillId="0" borderId="0" xfId="5" applyNumberFormat="1" applyFont="1" applyFill="1" applyProtection="1">
      <protection locked="0"/>
    </xf>
    <xf numFmtId="164" fontId="22" fillId="0" borderId="0" xfId="5" applyNumberFormat="1" applyFont="1" applyBorder="1"/>
    <xf numFmtId="169" fontId="7" fillId="0" borderId="0" xfId="3" applyNumberFormat="1" applyFont="1" applyFill="1"/>
    <xf numFmtId="37" fontId="7" fillId="0" borderId="14" xfId="5" applyNumberFormat="1" applyFont="1" applyFill="1" applyBorder="1" applyProtection="1"/>
    <xf numFmtId="164" fontId="7" fillId="0" borderId="10" xfId="5" applyNumberFormat="1" applyFont="1" applyFill="1" applyBorder="1"/>
    <xf numFmtId="168" fontId="7" fillId="0" borderId="8" xfId="5" applyNumberFormat="1" applyFont="1" applyFill="1" applyBorder="1" applyProtection="1"/>
    <xf numFmtId="177" fontId="7" fillId="0" borderId="0" xfId="5" applyNumberFormat="1" applyFont="1"/>
    <xf numFmtId="177" fontId="7" fillId="0" borderId="0" xfId="5" applyNumberFormat="1" applyFont="1" applyFill="1"/>
    <xf numFmtId="37" fontId="7" fillId="0" borderId="13" xfId="5" applyNumberFormat="1" applyFont="1" applyFill="1" applyBorder="1" applyProtection="1">
      <protection locked="0"/>
    </xf>
    <xf numFmtId="37" fontId="7" fillId="0" borderId="10" xfId="5" applyNumberFormat="1" applyFont="1" applyFill="1" applyBorder="1" applyProtection="1">
      <protection locked="0"/>
    </xf>
    <xf numFmtId="168" fontId="7" fillId="0" borderId="13" xfId="1" applyNumberFormat="1" applyFont="1" applyFill="1" applyBorder="1"/>
    <xf numFmtId="168" fontId="7" fillId="0" borderId="0" xfId="1" applyNumberFormat="1" applyFont="1" applyFill="1" applyBorder="1"/>
    <xf numFmtId="164" fontId="24" fillId="0" borderId="0" xfId="5" applyNumberFormat="1" applyFont="1" applyFill="1" applyAlignment="1">
      <alignment horizontal="left"/>
    </xf>
    <xf numFmtId="169" fontId="7" fillId="0" borderId="12" xfId="5" applyNumberFormat="1" applyFont="1" applyBorder="1"/>
    <xf numFmtId="175" fontId="7" fillId="0" borderId="0" xfId="1" applyNumberFormat="1" applyFont="1" applyFill="1" applyBorder="1" applyProtection="1">
      <protection locked="0"/>
    </xf>
    <xf numFmtId="49" fontId="21" fillId="0" borderId="0" xfId="5" applyNumberFormat="1" applyFont="1" applyFill="1"/>
    <xf numFmtId="7" fontId="7" fillId="0" borderId="1" xfId="5" applyNumberFormat="1" applyFont="1" applyFill="1" applyBorder="1" applyProtection="1">
      <protection locked="0"/>
    </xf>
    <xf numFmtId="37" fontId="7" fillId="0" borderId="0" xfId="5" applyNumberFormat="1" applyFont="1" applyFill="1" applyBorder="1" applyProtection="1">
      <protection locked="0"/>
    </xf>
    <xf numFmtId="37" fontId="7" fillId="0" borderId="1" xfId="5" applyNumberFormat="1" applyFont="1" applyFill="1" applyBorder="1" applyProtection="1"/>
    <xf numFmtId="10" fontId="7" fillId="0" borderId="0" xfId="3" applyNumberFormat="1" applyFont="1" applyFill="1" applyBorder="1"/>
    <xf numFmtId="164" fontId="25" fillId="0" borderId="0" xfId="5" applyNumberFormat="1" applyFont="1" applyFill="1" applyAlignment="1">
      <alignment horizontal="left"/>
    </xf>
    <xf numFmtId="175" fontId="7" fillId="0" borderId="0" xfId="1" applyNumberFormat="1" applyFont="1" applyFill="1" applyProtection="1">
      <protection locked="0"/>
    </xf>
    <xf numFmtId="164" fontId="7" fillId="2" borderId="11" xfId="5" applyNumberFormat="1" applyFont="1" applyFill="1" applyBorder="1"/>
    <xf numFmtId="164" fontId="21" fillId="0" borderId="0" xfId="5" applyNumberFormat="1" applyFont="1" applyFill="1"/>
    <xf numFmtId="166" fontId="7" fillId="0" borderId="0" xfId="5" applyNumberFormat="1" applyFont="1" applyFill="1" applyProtection="1">
      <protection locked="0"/>
    </xf>
    <xf numFmtId="166" fontId="7" fillId="0" borderId="0" xfId="5" applyNumberFormat="1" applyFont="1" applyFill="1" applyBorder="1" applyProtection="1">
      <protection locked="0"/>
    </xf>
    <xf numFmtId="166" fontId="7" fillId="0" borderId="0" xfId="5" applyNumberFormat="1" applyFont="1" applyFill="1" applyProtection="1"/>
    <xf numFmtId="166" fontId="7" fillId="0" borderId="0" xfId="5" applyNumberFormat="1" applyFont="1" applyFill="1" applyBorder="1" applyProtection="1"/>
    <xf numFmtId="169" fontId="7" fillId="0" borderId="0" xfId="5" applyNumberFormat="1" applyFont="1"/>
    <xf numFmtId="174" fontId="7" fillId="0" borderId="1" xfId="5" applyNumberFormat="1" applyFont="1" applyFill="1" applyBorder="1" applyProtection="1"/>
    <xf numFmtId="174" fontId="7" fillId="0" borderId="0" xfId="5" applyNumberFormat="1" applyFont="1" applyFill="1" applyBorder="1" applyProtection="1"/>
    <xf numFmtId="5" fontId="7" fillId="0" borderId="0" xfId="5" applyNumberFormat="1" applyFont="1" applyFill="1" applyProtection="1">
      <protection locked="0"/>
    </xf>
    <xf numFmtId="164" fontId="7" fillId="0" borderId="0" xfId="5" applyNumberFormat="1" applyFont="1" applyFill="1" applyProtection="1"/>
    <xf numFmtId="164" fontId="7" fillId="0" borderId="0" xfId="5" applyNumberFormat="1" applyFont="1" applyFill="1" applyBorder="1" applyProtection="1"/>
    <xf numFmtId="171" fontId="7" fillId="0" borderId="13" xfId="5" applyNumberFormat="1" applyFont="1" applyFill="1" applyBorder="1" applyProtection="1"/>
    <xf numFmtId="175" fontId="7" fillId="0" borderId="0" xfId="1" applyNumberFormat="1" applyFont="1" applyFill="1" applyProtection="1"/>
    <xf numFmtId="175" fontId="7" fillId="0" borderId="0" xfId="1" applyNumberFormat="1" applyFont="1" applyFill="1" applyBorder="1" applyProtection="1"/>
    <xf numFmtId="37" fontId="7" fillId="0" borderId="15" xfId="5" applyNumberFormat="1" applyFont="1" applyFill="1" applyBorder="1" applyProtection="1"/>
    <xf numFmtId="171" fontId="7" fillId="0" borderId="2" xfId="5" applyNumberFormat="1" applyFont="1" applyFill="1" applyBorder="1" applyProtection="1"/>
    <xf numFmtId="5" fontId="7" fillId="0" borderId="15" xfId="5" applyNumberFormat="1" applyFont="1" applyFill="1" applyBorder="1" applyProtection="1"/>
    <xf numFmtId="164" fontId="7" fillId="0" borderId="0" xfId="5" applyNumberFormat="1" applyFont="1" applyFill="1" applyBorder="1" applyProtection="1">
      <protection locked="0"/>
    </xf>
    <xf numFmtId="166" fontId="7" fillId="0" borderId="1" xfId="5" applyNumberFormat="1" applyFont="1" applyFill="1" applyBorder="1" applyProtection="1"/>
    <xf numFmtId="165" fontId="7" fillId="0" borderId="0" xfId="1" applyNumberFormat="1" applyFont="1" applyFill="1"/>
    <xf numFmtId="5" fontId="7" fillId="0" borderId="0" xfId="5" applyNumberFormat="1" applyFont="1" applyProtection="1"/>
    <xf numFmtId="165" fontId="7" fillId="0" borderId="2" xfId="1" applyNumberFormat="1" applyFont="1" applyFill="1" applyBorder="1"/>
    <xf numFmtId="0" fontId="21" fillId="0" borderId="0" xfId="11" applyFont="1" applyAlignment="1" applyProtection="1">
      <alignment horizontal="centerContinuous"/>
      <protection locked="0"/>
    </xf>
    <xf numFmtId="0" fontId="7" fillId="0" borderId="0" xfId="11" applyFont="1" applyProtection="1">
      <protection locked="0"/>
    </xf>
    <xf numFmtId="0" fontId="7" fillId="0" borderId="0" xfId="11" applyFont="1" applyAlignment="1" applyProtection="1">
      <alignment horizontal="center"/>
      <protection locked="0"/>
    </xf>
    <xf numFmtId="0" fontId="21" fillId="0" borderId="0" xfId="11" applyFont="1" applyAlignment="1" applyProtection="1">
      <alignment horizontal="center"/>
      <protection locked="0"/>
    </xf>
    <xf numFmtId="0" fontId="21" fillId="0" borderId="1" xfId="11" applyFont="1" applyBorder="1" applyAlignment="1" applyProtection="1">
      <alignment horizontal="center"/>
      <protection locked="0"/>
    </xf>
    <xf numFmtId="0" fontId="7" fillId="0" borderId="1" xfId="11" applyFont="1" applyBorder="1" applyAlignment="1" applyProtection="1">
      <alignment horizontal="center"/>
      <protection locked="0"/>
    </xf>
    <xf numFmtId="6" fontId="7" fillId="0" borderId="0" xfId="11" applyNumberFormat="1" applyFont="1" applyProtection="1">
      <protection locked="0"/>
    </xf>
    <xf numFmtId="169" fontId="7" fillId="0" borderId="0" xfId="11" applyNumberFormat="1" applyFont="1" applyProtection="1">
      <protection locked="0"/>
    </xf>
    <xf numFmtId="0" fontId="7" fillId="0" borderId="0" xfId="11" applyFont="1" applyBorder="1" applyProtection="1">
      <protection locked="0"/>
    </xf>
    <xf numFmtId="0" fontId="7" fillId="0" borderId="1" xfId="11" applyFont="1" applyBorder="1" applyProtection="1">
      <protection locked="0"/>
    </xf>
    <xf numFmtId="6" fontId="7" fillId="0" borderId="1" xfId="11" applyNumberFormat="1" applyFont="1" applyBorder="1" applyProtection="1">
      <protection locked="0"/>
    </xf>
    <xf numFmtId="169" fontId="7" fillId="0" borderId="1" xfId="11" applyNumberFormat="1" applyFont="1" applyBorder="1" applyProtection="1">
      <protection locked="0"/>
    </xf>
    <xf numFmtId="0" fontId="21" fillId="0" borderId="16" xfId="11" applyFont="1" applyBorder="1" applyProtection="1">
      <protection locked="0"/>
    </xf>
    <xf numFmtId="0" fontId="7" fillId="0" borderId="16" xfId="11" applyFont="1" applyBorder="1" applyProtection="1">
      <protection locked="0"/>
    </xf>
    <xf numFmtId="6" fontId="7" fillId="0" borderId="16" xfId="11" applyNumberFormat="1" applyFont="1" applyBorder="1" applyProtection="1">
      <protection locked="0"/>
    </xf>
    <xf numFmtId="169" fontId="7" fillId="0" borderId="16" xfId="11" applyNumberFormat="1" applyFont="1" applyBorder="1" applyProtection="1">
      <protection locked="0"/>
    </xf>
    <xf numFmtId="0" fontId="21" fillId="0" borderId="17" xfId="11" applyFont="1" applyBorder="1" applyProtection="1">
      <protection locked="0"/>
    </xf>
    <xf numFmtId="0" fontId="7" fillId="0" borderId="17" xfId="11" applyFont="1" applyBorder="1" applyProtection="1">
      <protection locked="0"/>
    </xf>
    <xf numFmtId="6" fontId="7" fillId="0" borderId="17" xfId="11" applyNumberFormat="1" applyFont="1" applyBorder="1" applyProtection="1">
      <protection locked="0"/>
    </xf>
    <xf numFmtId="169" fontId="7" fillId="0" borderId="17" xfId="11" applyNumberFormat="1" applyFont="1" applyBorder="1" applyProtection="1">
      <protection locked="0"/>
    </xf>
    <xf numFmtId="0" fontId="2" fillId="0" borderId="0" xfId="12"/>
    <xf numFmtId="10" fontId="7" fillId="0" borderId="0" xfId="2" applyNumberFormat="1" applyFont="1" applyFill="1"/>
    <xf numFmtId="10" fontId="7" fillId="0" borderId="1" xfId="2" applyNumberFormat="1" applyFont="1" applyFill="1" applyBorder="1"/>
    <xf numFmtId="10" fontId="7" fillId="0" borderId="0" xfId="2" applyNumberFormat="1" applyFont="1" applyFill="1" applyBorder="1"/>
    <xf numFmtId="10" fontId="7" fillId="0" borderId="2" xfId="2" applyNumberFormat="1" applyFont="1" applyFill="1" applyBorder="1"/>
    <xf numFmtId="10" fontId="7" fillId="0" borderId="0" xfId="5" applyNumberFormat="1" applyFont="1" applyFill="1" applyProtection="1">
      <protection locked="0"/>
    </xf>
    <xf numFmtId="10" fontId="7" fillId="0" borderId="0" xfId="5" applyNumberFormat="1" applyFont="1" applyFill="1" applyProtection="1"/>
    <xf numFmtId="10" fontId="16" fillId="0" borderId="0" xfId="5" applyNumberFormat="1" applyFont="1" applyFill="1" applyAlignment="1">
      <alignment horizontal="centerContinuous"/>
    </xf>
    <xf numFmtId="10" fontId="7" fillId="0" borderId="0" xfId="5" applyNumberFormat="1" applyFont="1" applyFill="1"/>
    <xf numFmtId="10" fontId="21" fillId="0" borderId="0" xfId="5" applyNumberFormat="1" applyFont="1" applyFill="1" applyAlignment="1">
      <alignment horizontal="center"/>
    </xf>
    <xf numFmtId="10" fontId="21" fillId="0" borderId="10" xfId="5" applyNumberFormat="1" applyFont="1" applyFill="1" applyBorder="1" applyAlignment="1">
      <alignment horizontal="center"/>
    </xf>
    <xf numFmtId="10" fontId="7" fillId="0" borderId="2" xfId="5" applyNumberFormat="1" applyFont="1" applyFill="1" applyBorder="1"/>
    <xf numFmtId="10" fontId="7" fillId="0" borderId="0" xfId="5" applyNumberFormat="1" applyFont="1" applyFill="1" applyBorder="1" applyProtection="1">
      <protection locked="0"/>
    </xf>
    <xf numFmtId="10" fontId="7" fillId="0" borderId="13" xfId="5" applyNumberFormat="1" applyFont="1" applyFill="1" applyBorder="1"/>
    <xf numFmtId="10" fontId="7" fillId="0" borderId="1" xfId="5" applyNumberFormat="1" applyFont="1" applyFill="1" applyBorder="1"/>
    <xf numFmtId="10" fontId="7" fillId="0" borderId="10" xfId="5" applyNumberFormat="1" applyFont="1" applyFill="1" applyBorder="1"/>
    <xf numFmtId="10" fontId="7" fillId="0" borderId="0" xfId="5" applyNumberFormat="1" applyFont="1" applyFill="1" applyBorder="1" applyProtection="1"/>
    <xf numFmtId="10" fontId="7" fillId="0" borderId="13" xfId="1" applyNumberFormat="1" applyFont="1" applyFill="1" applyBorder="1"/>
    <xf numFmtId="10" fontId="7" fillId="0" borderId="0" xfId="1" applyNumberFormat="1" applyFont="1" applyFill="1" applyBorder="1" applyProtection="1">
      <protection locked="0"/>
    </xf>
    <xf numFmtId="10" fontId="7" fillId="0" borderId="1" xfId="5" applyNumberFormat="1" applyFont="1" applyFill="1" applyBorder="1" applyProtection="1">
      <protection locked="0"/>
    </xf>
    <xf numFmtId="10" fontId="7" fillId="0" borderId="0" xfId="5" applyNumberFormat="1" applyFont="1" applyFill="1" applyBorder="1"/>
    <xf numFmtId="10" fontId="7" fillId="0" borderId="0" xfId="1" applyNumberFormat="1" applyFont="1" applyFill="1" applyProtection="1">
      <protection locked="0"/>
    </xf>
    <xf numFmtId="10" fontId="7" fillId="0" borderId="1" xfId="5" applyNumberFormat="1" applyFont="1" applyFill="1" applyBorder="1" applyProtection="1"/>
    <xf numFmtId="10" fontId="7" fillId="0" borderId="13" xfId="5" applyNumberFormat="1" applyFont="1" applyFill="1" applyBorder="1" applyProtection="1"/>
    <xf numFmtId="10" fontId="7" fillId="0" borderId="0" xfId="1" applyNumberFormat="1" applyFont="1" applyFill="1" applyProtection="1"/>
    <xf numFmtId="10" fontId="7" fillId="0" borderId="2" xfId="5" applyNumberFormat="1" applyFont="1" applyFill="1" applyBorder="1" applyProtection="1"/>
    <xf numFmtId="10" fontId="7" fillId="2" borderId="12" xfId="5" applyNumberFormat="1" applyFont="1" applyFill="1" applyBorder="1"/>
    <xf numFmtId="0" fontId="4" fillId="0" borderId="0" xfId="18"/>
    <xf numFmtId="0" fontId="4" fillId="0" borderId="0" xfId="18" applyAlignment="1"/>
    <xf numFmtId="0" fontId="21" fillId="0" borderId="1" xfId="11" applyFont="1" applyBorder="1" applyAlignment="1" applyProtection="1">
      <alignment horizontal="centerContinuous"/>
      <protection locked="0"/>
    </xf>
    <xf numFmtId="8" fontId="7" fillId="0" borderId="0" xfId="11" applyNumberFormat="1" applyFont="1" applyProtection="1">
      <protection locked="0"/>
    </xf>
    <xf numFmtId="164" fontId="3" fillId="0" borderId="0" xfId="4" applyFont="1" applyFill="1" applyBorder="1" applyAlignment="1">
      <alignment horizontal="centerContinuous"/>
    </xf>
    <xf numFmtId="169" fontId="3" fillId="0" borderId="0" xfId="4" applyNumberFormat="1" applyFont="1" applyFill="1" applyBorder="1" applyAlignment="1">
      <alignment horizontal="centerContinuous"/>
    </xf>
    <xf numFmtId="0" fontId="21" fillId="0" borderId="0" xfId="11" applyFont="1" applyBorder="1" applyAlignment="1" applyProtection="1">
      <alignment horizontal="centerContinuous"/>
      <protection locked="0"/>
    </xf>
    <xf numFmtId="164" fontId="41" fillId="0" borderId="0" xfId="5" applyNumberFormat="1" applyFont="1" applyFill="1"/>
    <xf numFmtId="10" fontId="7" fillId="0" borderId="0" xfId="5" applyNumberFormat="1" applyFont="1" applyFill="1" applyAlignment="1">
      <alignment horizontal="right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26" fillId="4" borderId="0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27" fillId="4" borderId="0" xfId="0" applyFont="1" applyFill="1" applyBorder="1"/>
    <xf numFmtId="0" fontId="0" fillId="4" borderId="0" xfId="0" applyFont="1" applyFill="1" applyBorder="1"/>
    <xf numFmtId="179" fontId="0" fillId="4" borderId="0" xfId="0" applyNumberFormat="1" applyFont="1" applyFill="1" applyBorder="1"/>
    <xf numFmtId="179" fontId="0" fillId="4" borderId="1" xfId="0" applyNumberFormat="1" applyFont="1" applyFill="1" applyBorder="1"/>
    <xf numFmtId="44" fontId="0" fillId="4" borderId="0" xfId="2" applyFont="1" applyFill="1" applyBorder="1"/>
    <xf numFmtId="41" fontId="0" fillId="4" borderId="1" xfId="0" applyNumberFormat="1" applyFont="1" applyFill="1" applyBorder="1"/>
    <xf numFmtId="167" fontId="0" fillId="4" borderId="0" xfId="2" applyNumberFormat="1" applyFont="1" applyFill="1" applyBorder="1"/>
    <xf numFmtId="42" fontId="27" fillId="4" borderId="0" xfId="0" applyNumberFormat="1" applyFont="1" applyFill="1" applyBorder="1"/>
    <xf numFmtId="42" fontId="27" fillId="4" borderId="2" xfId="0" applyNumberFormat="1" applyFont="1" applyFill="1" applyBorder="1"/>
    <xf numFmtId="41" fontId="27" fillId="4" borderId="0" xfId="0" applyNumberFormat="1" applyFont="1" applyFill="1" applyBorder="1"/>
    <xf numFmtId="0" fontId="0" fillId="4" borderId="0" xfId="0" applyFill="1" applyBorder="1" applyAlignment="1">
      <alignment horizontal="left"/>
    </xf>
    <xf numFmtId="41" fontId="0" fillId="4" borderId="0" xfId="0" applyNumberFormat="1" applyFill="1" applyBorder="1"/>
    <xf numFmtId="41" fontId="0" fillId="4" borderId="1" xfId="0" applyNumberFormat="1" applyFill="1" applyBorder="1"/>
    <xf numFmtId="167" fontId="27" fillId="4" borderId="0" xfId="2" applyNumberFormat="1" applyFont="1" applyFill="1" applyBorder="1"/>
    <xf numFmtId="0" fontId="0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4" borderId="9" xfId="0" applyFill="1" applyBorder="1"/>
    <xf numFmtId="0" fontId="0" fillId="4" borderId="1" xfId="0" applyFill="1" applyBorder="1"/>
    <xf numFmtId="0" fontId="0" fillId="4" borderId="8" xfId="0" applyFill="1" applyBorder="1"/>
  </cellXfs>
  <cellStyles count="184">
    <cellStyle name="Comma" xfId="1" builtinId="3"/>
    <cellStyle name="Comma 11" xfId="26"/>
    <cellStyle name="Comma 19" xfId="27"/>
    <cellStyle name="Comma 2" xfId="6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132"/>
    <cellStyle name="Comma 2 20" xfId="39"/>
    <cellStyle name="Comma 2 21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1" xfId="48"/>
    <cellStyle name="Comma 22" xfId="49"/>
    <cellStyle name="Comma 3" xfId="133"/>
    <cellStyle name="Comma 4" xfId="50"/>
    <cellStyle name="Comma 5" xfId="51"/>
    <cellStyle name="Comma0" xfId="134"/>
    <cellStyle name="Currency" xfId="2" builtinId="4"/>
    <cellStyle name="Currency 2" xfId="7"/>
    <cellStyle name="Currency 2 10" xfId="52"/>
    <cellStyle name="Currency 2 11" xfId="53"/>
    <cellStyle name="Currency 2 12" xfId="54"/>
    <cellStyle name="Currency 2 13" xfId="55"/>
    <cellStyle name="Currency 2 14" xfId="56"/>
    <cellStyle name="Currency 2 15" xfId="57"/>
    <cellStyle name="Currency 2 16" xfId="58"/>
    <cellStyle name="Currency 2 17" xfId="59"/>
    <cellStyle name="Currency 2 18" xfId="60"/>
    <cellStyle name="Currency 2 19" xfId="61"/>
    <cellStyle name="Currency 2 2" xfId="62"/>
    <cellStyle name="Currency 2 2 2" xfId="135"/>
    <cellStyle name="Currency 2 20" xfId="63"/>
    <cellStyle name="Currency 2 21" xfId="64"/>
    <cellStyle name="Currency 2 3" xfId="65"/>
    <cellStyle name="Currency 2 4" xfId="66"/>
    <cellStyle name="Currency 2 5" xfId="67"/>
    <cellStyle name="Currency 2 6" xfId="68"/>
    <cellStyle name="Currency 2 7" xfId="69"/>
    <cellStyle name="Currency 2 8" xfId="70"/>
    <cellStyle name="Currency 2 9" xfId="71"/>
    <cellStyle name="Currency No Comma" xfId="136"/>
    <cellStyle name="Currency0" xfId="137"/>
    <cellStyle name="Date" xfId="138"/>
    <cellStyle name="Fixed" xfId="139"/>
    <cellStyle name="General" xfId="8"/>
    <cellStyle name="MCP" xfId="140"/>
    <cellStyle name="nONE" xfId="9"/>
    <cellStyle name="noninput" xfId="141"/>
    <cellStyle name="Normal" xfId="0" builtinId="0"/>
    <cellStyle name="Normal 10" xfId="72"/>
    <cellStyle name="Normal 11" xfId="73"/>
    <cellStyle name="Normal 12" xfId="74"/>
    <cellStyle name="Normal 13" xfId="75"/>
    <cellStyle name="Normal 14" xfId="76"/>
    <cellStyle name="Normal 16" xfId="77"/>
    <cellStyle name="Normal 17" xfId="78"/>
    <cellStyle name="Normal 18" xfId="79"/>
    <cellStyle name="Normal 19" xfId="80"/>
    <cellStyle name="Normal 2" xfId="10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" xfId="89"/>
    <cellStyle name="Normal 2 19" xfId="90"/>
    <cellStyle name="Normal 2 2" xfId="11"/>
    <cellStyle name="Normal 2 20" xfId="91"/>
    <cellStyle name="Normal 2 21" xfId="92"/>
    <cellStyle name="Normal 2 22" xfId="93"/>
    <cellStyle name="Normal 2 3" xfId="94"/>
    <cellStyle name="Normal 2 3 2" xfId="142"/>
    <cellStyle name="Normal 2 4" xfId="95"/>
    <cellStyle name="Normal 2 5" xfId="96"/>
    <cellStyle name="Normal 2 6" xfId="97"/>
    <cellStyle name="Normal 2 7" xfId="98"/>
    <cellStyle name="Normal 2 8" xfId="99"/>
    <cellStyle name="Normal 2 9" xfId="100"/>
    <cellStyle name="Normal 2_Book1" xfId="101"/>
    <cellStyle name="Normal 20" xfId="102"/>
    <cellStyle name="Normal 21" xfId="103"/>
    <cellStyle name="Normal 22" xfId="104"/>
    <cellStyle name="Normal 23" xfId="105"/>
    <cellStyle name="Normal 24" xfId="106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07"/>
    <cellStyle name="Normal_Blocking 03-01" xfId="4"/>
    <cellStyle name="Normal_Blocking 09-00" xfId="5"/>
    <cellStyle name="Password" xfId="143"/>
    <cellStyle name="Percent" xfId="3" builtinId="5"/>
    <cellStyle name="Percent 13" xfId="108"/>
    <cellStyle name="Percent 19" xfId="109"/>
    <cellStyle name="Percent 2" xfId="19"/>
    <cellStyle name="Percent 2 10" xfId="110"/>
    <cellStyle name="Percent 2 11" xfId="111"/>
    <cellStyle name="Percent 2 12" xfId="112"/>
    <cellStyle name="Percent 2 13" xfId="113"/>
    <cellStyle name="Percent 2 14" xfId="114"/>
    <cellStyle name="Percent 2 15" xfId="115"/>
    <cellStyle name="Percent 2 16" xfId="116"/>
    <cellStyle name="Percent 2 17" xfId="117"/>
    <cellStyle name="Percent 2 18" xfId="118"/>
    <cellStyle name="Percent 2 19" xfId="119"/>
    <cellStyle name="Percent 2 2" xfId="20"/>
    <cellStyle name="Percent 2 2 2" xfId="144"/>
    <cellStyle name="Percent 2 20" xfId="120"/>
    <cellStyle name="Percent 2 21" xfId="121"/>
    <cellStyle name="Percent 2 3" xfId="122"/>
    <cellStyle name="Percent 2 4" xfId="123"/>
    <cellStyle name="Percent 2 5" xfId="124"/>
    <cellStyle name="Percent 2 6" xfId="125"/>
    <cellStyle name="Percent 2 7" xfId="126"/>
    <cellStyle name="Percent 2 8" xfId="127"/>
    <cellStyle name="Percent 2 9" xfId="128"/>
    <cellStyle name="Percent 22" xfId="129"/>
    <cellStyle name="Percent 3" xfId="21"/>
    <cellStyle name="Percent 4" xfId="22"/>
    <cellStyle name="Percent 5" xfId="23"/>
    <cellStyle name="Percent 6" xfId="24"/>
    <cellStyle name="SAPBEXaggData" xfId="145"/>
    <cellStyle name="SAPBEXaggDataEmph" xfId="146"/>
    <cellStyle name="SAPBEXaggItem" xfId="147"/>
    <cellStyle name="SAPBEXaggItemX" xfId="148"/>
    <cellStyle name="SAPBEXchaText" xfId="130"/>
    <cellStyle name="SAPBEXexcBad7" xfId="149"/>
    <cellStyle name="SAPBEXexcBad8" xfId="150"/>
    <cellStyle name="SAPBEXexcBad9" xfId="151"/>
    <cellStyle name="SAPBEXexcCritical4" xfId="152"/>
    <cellStyle name="SAPBEXexcCritical5" xfId="153"/>
    <cellStyle name="SAPBEXexcCritical6" xfId="154"/>
    <cellStyle name="SAPBEXexcGood1" xfId="155"/>
    <cellStyle name="SAPBEXexcGood2" xfId="156"/>
    <cellStyle name="SAPBEXexcGood3" xfId="157"/>
    <cellStyle name="SAPBEXfilterDrill" xfId="158"/>
    <cellStyle name="SAPBEXfilterItem" xfId="159"/>
    <cellStyle name="SAPBEXfilterText" xfId="160"/>
    <cellStyle name="SAPBEXformats" xfId="161"/>
    <cellStyle name="SAPBEXheaderItem" xfId="162"/>
    <cellStyle name="SAPBEXheaderText" xfId="163"/>
    <cellStyle name="SAPBEXHLevel0" xfId="164"/>
    <cellStyle name="SAPBEXHLevel0X" xfId="165"/>
    <cellStyle name="SAPBEXHLevel1" xfId="166"/>
    <cellStyle name="SAPBEXHLevel1X" xfId="167"/>
    <cellStyle name="SAPBEXHLevel2" xfId="168"/>
    <cellStyle name="SAPBEXHLevel2X" xfId="169"/>
    <cellStyle name="SAPBEXHLevel3" xfId="170"/>
    <cellStyle name="SAPBEXHLevel3X" xfId="171"/>
    <cellStyle name="SAPBEXresData" xfId="172"/>
    <cellStyle name="SAPBEXresDataEmph" xfId="173"/>
    <cellStyle name="SAPBEXresItem" xfId="174"/>
    <cellStyle name="SAPBEXresItemX" xfId="175"/>
    <cellStyle name="SAPBEXstdData" xfId="176"/>
    <cellStyle name="SAPBEXstdDataEmph" xfId="177"/>
    <cellStyle name="SAPBEXstdItem" xfId="178"/>
    <cellStyle name="SAPBEXstdItemX" xfId="179"/>
    <cellStyle name="SAPBEXtitle" xfId="131"/>
    <cellStyle name="SAPBEXundefined" xfId="180"/>
    <cellStyle name="TRANSMISSION RELIABILITY PORTION OF PROJECT" xfId="25"/>
    <cellStyle name="Unprot" xfId="181"/>
    <cellStyle name="Unprot$" xfId="182"/>
    <cellStyle name="Unprotect" xfId="18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10">
          <cell r="D10">
            <v>0.5</v>
          </cell>
        </row>
        <row r="11">
          <cell r="W11">
            <v>3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5566045566.0353851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867">
          <cell r="F1867">
            <v>-2239290.6767274253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BreakPreview" zoomScale="60" zoomScaleNormal="70" workbookViewId="0">
      <selection activeCell="R33" sqref="R33"/>
    </sheetView>
  </sheetViews>
  <sheetFormatPr defaultRowHeight="15.75"/>
  <cols>
    <col min="1" max="1" width="4.625" style="63" customWidth="1"/>
    <col min="2" max="2" width="1.625" style="63" customWidth="1"/>
    <col min="3" max="3" width="39.375" style="63" customWidth="1"/>
    <col min="4" max="4" width="0.75" style="64" customWidth="1"/>
    <col min="5" max="5" width="7.75" style="63" customWidth="1"/>
    <col min="6" max="6" width="0.75" style="64" customWidth="1"/>
    <col min="7" max="7" width="11.625" style="64" customWidth="1"/>
    <col min="8" max="8" width="0.75" style="64" customWidth="1"/>
    <col min="9" max="9" width="12.25" style="64" bestFit="1" customWidth="1"/>
    <col min="10" max="10" width="1.25" style="64" customWidth="1"/>
    <col min="11" max="11" width="11.5" style="64" bestFit="1" customWidth="1"/>
    <col min="12" max="12" width="1.25" style="64" customWidth="1"/>
    <col min="13" max="13" width="11.5" style="64" bestFit="1" customWidth="1"/>
    <col min="14" max="14" width="1" style="64" customWidth="1"/>
    <col min="15" max="15" width="8.5" style="70" bestFit="1" customWidth="1"/>
    <col min="16" max="16384" width="9" style="63"/>
  </cols>
  <sheetData>
    <row r="1" spans="1:15">
      <c r="A1" s="59" t="s">
        <v>342</v>
      </c>
      <c r="B1" s="59"/>
      <c r="C1" s="59"/>
      <c r="D1" s="60"/>
      <c r="E1" s="59"/>
      <c r="F1" s="60"/>
      <c r="G1" s="60"/>
      <c r="H1" s="60"/>
      <c r="I1" s="60"/>
      <c r="J1" s="60"/>
      <c r="K1" s="61"/>
      <c r="L1" s="60"/>
      <c r="M1" s="61"/>
      <c r="N1" s="60"/>
      <c r="O1" s="62"/>
    </row>
    <row r="2" spans="1:15" s="7" customFormat="1">
      <c r="A2" s="59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5"/>
    </row>
    <row r="3" spans="1:15" s="7" customFormat="1">
      <c r="A3" s="59" t="s">
        <v>383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5"/>
    </row>
    <row r="4" spans="1:15" s="7" customFormat="1">
      <c r="A4" s="59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5"/>
    </row>
    <row r="5" spans="1:15" s="7" customFormat="1">
      <c r="A5" s="59" t="s">
        <v>343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5"/>
    </row>
    <row r="6" spans="1:15">
      <c r="A6" s="59" t="s">
        <v>344</v>
      </c>
      <c r="B6" s="6"/>
      <c r="C6" s="6"/>
      <c r="D6" s="6"/>
      <c r="E6" s="6"/>
      <c r="F6" s="6"/>
      <c r="G6" s="6"/>
      <c r="H6" s="6"/>
      <c r="I6" s="6"/>
      <c r="J6" s="6"/>
      <c r="K6" s="6"/>
      <c r="L6" s="61"/>
      <c r="M6" s="66"/>
      <c r="N6" s="66"/>
      <c r="O6" s="67"/>
    </row>
    <row r="7" spans="1:15" ht="10.5" customHeight="1">
      <c r="A7" s="59"/>
      <c r="B7" s="59"/>
      <c r="C7" s="59"/>
      <c r="D7" s="60"/>
      <c r="E7" s="59"/>
      <c r="F7" s="60"/>
      <c r="G7" s="60"/>
      <c r="H7" s="60"/>
      <c r="I7" s="60"/>
      <c r="J7" s="60"/>
      <c r="K7" s="61"/>
      <c r="L7" s="60"/>
      <c r="M7" s="61"/>
      <c r="N7" s="60"/>
      <c r="O7" s="62"/>
    </row>
    <row r="8" spans="1:15">
      <c r="D8" s="68"/>
      <c r="F8" s="68"/>
      <c r="G8" s="69"/>
      <c r="H8" s="68"/>
      <c r="J8" s="68"/>
      <c r="L8" s="68"/>
    </row>
    <row r="9" spans="1:15">
      <c r="D9" s="69"/>
      <c r="E9" s="72"/>
      <c r="F9" s="69"/>
      <c r="G9" s="69" t="s">
        <v>3</v>
      </c>
      <c r="H9" s="69"/>
      <c r="I9" s="69"/>
      <c r="J9" s="69"/>
      <c r="K9" s="71" t="s">
        <v>4</v>
      </c>
      <c r="L9" s="69"/>
      <c r="M9" s="281"/>
      <c r="N9" s="281"/>
      <c r="O9" s="282"/>
    </row>
    <row r="10" spans="1:15" s="75" customFormat="1">
      <c r="A10" s="75" t="s">
        <v>6</v>
      </c>
      <c r="D10" s="69"/>
      <c r="E10" s="72" t="s">
        <v>7</v>
      </c>
      <c r="F10" s="69"/>
      <c r="G10" s="71" t="s">
        <v>8</v>
      </c>
      <c r="H10" s="69"/>
      <c r="I10" s="69" t="s">
        <v>9</v>
      </c>
      <c r="J10" s="71"/>
      <c r="K10" s="69" t="s">
        <v>10</v>
      </c>
      <c r="L10" s="71"/>
      <c r="M10" s="73" t="s">
        <v>388</v>
      </c>
      <c r="N10" s="73"/>
      <c r="O10" s="74"/>
    </row>
    <row r="11" spans="1:15" s="75" customFormat="1">
      <c r="A11" s="75" t="s">
        <v>11</v>
      </c>
      <c r="C11" s="72" t="s">
        <v>12</v>
      </c>
      <c r="E11" s="77" t="s">
        <v>11</v>
      </c>
      <c r="G11" s="78" t="s">
        <v>13</v>
      </c>
      <c r="I11" s="78" t="s">
        <v>13</v>
      </c>
      <c r="K11" s="79" t="s">
        <v>14</v>
      </c>
      <c r="M11" s="79" t="s">
        <v>14</v>
      </c>
      <c r="O11" s="80" t="s">
        <v>16</v>
      </c>
    </row>
    <row r="12" spans="1:15" s="75" customFormat="1">
      <c r="C12" s="19">
        <v>-1</v>
      </c>
      <c r="D12" s="20"/>
      <c r="E12" s="19">
        <f>MIN($A12:D12)-1</f>
        <v>-2</v>
      </c>
      <c r="F12" s="20"/>
      <c r="G12" s="19">
        <f>MIN($A12:F12)-1</f>
        <v>-3</v>
      </c>
      <c r="H12" s="20"/>
      <c r="I12" s="19">
        <f>MIN($A12:H12)-1</f>
        <v>-4</v>
      </c>
      <c r="J12" s="20"/>
      <c r="K12" s="19">
        <f>MIN($A12:J12)-1</f>
        <v>-5</v>
      </c>
      <c r="L12" s="20"/>
      <c r="M12" s="19">
        <f>MIN($A12:L12)-1</f>
        <v>-6</v>
      </c>
      <c r="N12" s="20"/>
      <c r="O12" s="19">
        <f>MIN($A12:N12)-1</f>
        <v>-7</v>
      </c>
    </row>
    <row r="13" spans="1:15" s="75" customFormat="1">
      <c r="D13" s="76"/>
      <c r="F13" s="76"/>
      <c r="G13" s="76"/>
      <c r="H13" s="76"/>
      <c r="I13" s="76"/>
      <c r="J13" s="76"/>
      <c r="K13" s="76"/>
      <c r="L13" s="76"/>
      <c r="M13" s="76"/>
      <c r="N13" s="76"/>
      <c r="O13" s="81" t="str">
        <f>"(" &amp; -M12 &amp; ")/(" &amp; -K12 &amp; ")"</f>
        <v>(6)/(5)</v>
      </c>
    </row>
    <row r="14" spans="1:15">
      <c r="C14" s="75" t="s">
        <v>17</v>
      </c>
    </row>
    <row r="15" spans="1:15">
      <c r="A15" s="63">
        <v>1</v>
      </c>
      <c r="C15" s="63" t="s">
        <v>17</v>
      </c>
      <c r="E15" s="83" t="s">
        <v>18</v>
      </c>
      <c r="G15" s="25">
        <v>719579.21600691369</v>
      </c>
      <c r="I15" s="25">
        <f>('Exhibit-RMP(WRG-2R)'!C25+'Exhibit-RMP(WRG-2R)'!C42)/1000</f>
        <v>6618984.2947154995</v>
      </c>
      <c r="K15" s="26">
        <f>('Exhibit-RMP(WRG-2R)'!G25+'Exhibit-RMP(WRG-2R)'!G42)/1000</f>
        <v>649669.90700000001</v>
      </c>
      <c r="L15" s="27"/>
      <c r="M15" s="26">
        <f>('Exhibit-RMP(WRG-2R)'!K25+'Exhibit-RMP(WRG-2R)'!K42)/1000</f>
        <v>11248.877</v>
      </c>
      <c r="O15" s="84">
        <f>M15/K15</f>
        <v>1.7314757662001419E-2</v>
      </c>
    </row>
    <row r="16" spans="1:15">
      <c r="A16" s="63">
        <f>MAX(A$14:A15)+1</f>
        <v>2</v>
      </c>
      <c r="C16" s="63" t="s">
        <v>19</v>
      </c>
      <c r="E16" s="85">
        <v>2</v>
      </c>
      <c r="G16" s="25">
        <v>360.45065975289282</v>
      </c>
      <c r="I16" s="25">
        <f>'Exhibit-RMP(WRG-2R)'!C61/1000</f>
        <v>3259.9751844998164</v>
      </c>
      <c r="K16" s="26">
        <f>('Exhibit-RMP(WRG-2R)'!G61)/1000</f>
        <v>310.99200000000002</v>
      </c>
      <c r="L16" s="27"/>
      <c r="M16" s="26">
        <f>('Exhibit-RMP(WRG-2R)'!K61)/1000</f>
        <v>5.4470000000000001</v>
      </c>
      <c r="O16" s="84">
        <f t="shared" ref="O16:O18" si="0">M16/K16</f>
        <v>1.751491999794207E-2</v>
      </c>
    </row>
    <row r="17" spans="1:15">
      <c r="A17" s="63">
        <f>MAX(A$14:A16)+1</f>
        <v>3</v>
      </c>
      <c r="C17" s="86" t="s">
        <v>20</v>
      </c>
      <c r="E17" s="87" t="s">
        <v>21</v>
      </c>
      <c r="G17" s="88"/>
      <c r="I17" s="88"/>
      <c r="K17" s="32">
        <v>36.561</v>
      </c>
      <c r="L17" s="27"/>
      <c r="M17" s="32"/>
      <c r="O17" s="89"/>
    </row>
    <row r="18" spans="1:15">
      <c r="A18" s="63">
        <f>MAX(A$14:A17)+1</f>
        <v>4</v>
      </c>
      <c r="C18" s="75" t="s">
        <v>22</v>
      </c>
      <c r="G18" s="25">
        <f>SUM(G15:G17)</f>
        <v>719939.66666666663</v>
      </c>
      <c r="I18" s="25">
        <f>SUM(I15:I17)</f>
        <v>6622244.2698999997</v>
      </c>
      <c r="K18" s="26">
        <f>SUM(K15:K17)</f>
        <v>650017.46</v>
      </c>
      <c r="L18" s="27"/>
      <c r="M18" s="26">
        <f>SUM(M15:M17)</f>
        <v>11254.324000000001</v>
      </c>
      <c r="O18" s="84">
        <f t="shared" si="0"/>
        <v>1.7313879537943489E-2</v>
      </c>
    </row>
    <row r="19" spans="1:15" ht="24.95" customHeight="1">
      <c r="C19" s="75" t="s">
        <v>23</v>
      </c>
      <c r="G19" s="25"/>
      <c r="I19" s="25"/>
      <c r="K19" s="34"/>
      <c r="L19" s="27"/>
      <c r="M19" s="34"/>
      <c r="O19" s="84"/>
    </row>
    <row r="20" spans="1:15">
      <c r="A20" s="63">
        <f>MAX(A$14:A19)+1</f>
        <v>5</v>
      </c>
      <c r="C20" s="63" t="s">
        <v>24</v>
      </c>
      <c r="E20" s="90">
        <v>6</v>
      </c>
      <c r="G20" s="25">
        <v>13479.916666666668</v>
      </c>
      <c r="I20" s="25">
        <f>SUM('Exhibit-RMP(WRG-2R)'!C73)/1000</f>
        <v>5746434.2788172225</v>
      </c>
      <c r="K20" s="26">
        <f>('Exhibit-RMP(WRG-2R)'!G73)/1000</f>
        <v>443566.413</v>
      </c>
      <c r="L20" s="27"/>
      <c r="M20" s="26">
        <f>('Exhibit-RMP(WRG-2R)'!K73)/1000</f>
        <v>6627.375</v>
      </c>
      <c r="O20" s="84">
        <f t="shared" ref="O20:O52" si="1">M20/K20</f>
        <v>1.4941110971808409E-2</v>
      </c>
    </row>
    <row r="21" spans="1:15">
      <c r="A21" s="63">
        <f>MAX(A$14:A20)+1</f>
        <v>6</v>
      </c>
      <c r="C21" s="63" t="s">
        <v>25</v>
      </c>
      <c r="E21" s="85" t="s">
        <v>26</v>
      </c>
      <c r="G21" s="25">
        <v>2394.25</v>
      </c>
      <c r="I21" s="25">
        <f>SUM('Exhibit-RMP(WRG-2R)'!C97)/1000</f>
        <v>277735.08199999999</v>
      </c>
      <c r="K21" s="26">
        <f>('Exhibit-RMP(WRG-2R)'!G97)/1000</f>
        <v>29859.053</v>
      </c>
      <c r="L21" s="27"/>
      <c r="M21" s="26">
        <f>('Exhibit-RMP(WRG-2R)'!K97)/1000</f>
        <v>445.47399999999999</v>
      </c>
      <c r="O21" s="84">
        <f t="shared" si="1"/>
        <v>1.4919227344551081E-2</v>
      </c>
    </row>
    <row r="22" spans="1:15">
      <c r="A22" s="63">
        <f>MAX(A$14:A21)+1</f>
        <v>7</v>
      </c>
      <c r="C22" s="63" t="s">
        <v>27</v>
      </c>
      <c r="E22" s="85" t="s">
        <v>28</v>
      </c>
      <c r="G22" s="36">
        <v>32</v>
      </c>
      <c r="I22" s="36">
        <f>'Exhibit-RMP(WRG-2R)'!C85/1000</f>
        <v>21133.17</v>
      </c>
      <c r="K22" s="32">
        <f>'Exhibit-RMP(WRG-2R)'!G85/1000</f>
        <v>1657.327</v>
      </c>
      <c r="L22" s="27"/>
      <c r="M22" s="32">
        <f>'Exhibit-RMP(WRG-2R)'!K85/1000</f>
        <v>24.9</v>
      </c>
      <c r="O22" s="89">
        <f t="shared" si="1"/>
        <v>1.5024192570325589E-2</v>
      </c>
    </row>
    <row r="23" spans="1:15">
      <c r="A23" s="63">
        <f>MAX(A$14:A22)+1</f>
        <v>8</v>
      </c>
      <c r="C23" s="91" t="s">
        <v>29</v>
      </c>
      <c r="G23" s="25">
        <f>SUM(G20:G22)</f>
        <v>15906.166666666668</v>
      </c>
      <c r="I23" s="25">
        <f>SUM(I20:I22)</f>
        <v>6045302.5308172228</v>
      </c>
      <c r="K23" s="26">
        <f>SUM(K20:K22)</f>
        <v>475082.79300000001</v>
      </c>
      <c r="L23" s="27"/>
      <c r="M23" s="26">
        <f>SUM(M20:M22)</f>
        <v>7097.7489999999998</v>
      </c>
      <c r="O23" s="84">
        <f t="shared" si="1"/>
        <v>1.4940025411528638E-2</v>
      </c>
    </row>
    <row r="24" spans="1:15" ht="21.95" customHeight="1">
      <c r="A24" s="63">
        <f>MAX(A$14:A23)+1</f>
        <v>9</v>
      </c>
      <c r="C24" s="86" t="s">
        <v>30</v>
      </c>
      <c r="E24" s="63">
        <v>8</v>
      </c>
      <c r="F24" s="25"/>
      <c r="G24" s="25">
        <v>297.08333333333331</v>
      </c>
      <c r="I24" s="25">
        <f>'Exhibit-RMP(WRG-2R)'!C149/1000</f>
        <v>2076915.6910000001</v>
      </c>
      <c r="K24" s="26">
        <f>('Exhibit-RMP(WRG-2R)'!G149)/1000</f>
        <v>141558.614</v>
      </c>
      <c r="L24" s="27"/>
      <c r="M24" s="26">
        <f>('Exhibit-RMP(WRG-2R)'!K149)/1000</f>
        <v>2462.3719999999998</v>
      </c>
      <c r="O24" s="84">
        <f t="shared" si="1"/>
        <v>1.7394716792013799E-2</v>
      </c>
    </row>
    <row r="25" spans="1:15" ht="21.95" customHeight="1">
      <c r="A25" s="63">
        <f>MAX(A$14:A24)+1</f>
        <v>10</v>
      </c>
      <c r="C25" s="63" t="s">
        <v>31</v>
      </c>
      <c r="E25" s="63">
        <v>9</v>
      </c>
      <c r="G25" s="25">
        <v>142.5</v>
      </c>
      <c r="I25" s="25">
        <f>('Exhibit-RMP(WRG-2R)'!C160)/1000</f>
        <v>4538067.2419739999</v>
      </c>
      <c r="K25" s="26">
        <f>('Exhibit-RMP(WRG-2R)'!G160)/1000</f>
        <v>226409.34400000001</v>
      </c>
      <c r="L25" s="27"/>
      <c r="M25" s="26">
        <f>('Exhibit-RMP(WRG-2R)'!K160)/1000</f>
        <v>4575.8509999999997</v>
      </c>
      <c r="O25" s="84">
        <f t="shared" si="1"/>
        <v>2.0210521876694275E-2</v>
      </c>
    </row>
    <row r="26" spans="1:15">
      <c r="A26" s="63">
        <f>MAX(A$14:A25)+1</f>
        <v>11</v>
      </c>
      <c r="C26" s="63" t="s">
        <v>32</v>
      </c>
      <c r="E26" s="85" t="s">
        <v>33</v>
      </c>
      <c r="G26" s="36">
        <v>8.9999986111111081</v>
      </c>
      <c r="I26" s="36">
        <f>'Exhibit-RMP(WRG-2R)'!C168/1000</f>
        <v>42717.705999999998</v>
      </c>
      <c r="K26" s="32">
        <f>'Exhibit-RMP(WRG-2R)'!G168/1000</f>
        <v>2911.8290000000002</v>
      </c>
      <c r="L26" s="27"/>
      <c r="M26" s="32">
        <f>'Exhibit-RMP(WRG-2R)'!K168/1000</f>
        <v>58.27</v>
      </c>
      <c r="O26" s="89">
        <f t="shared" si="1"/>
        <v>2.0011477322329024E-2</v>
      </c>
    </row>
    <row r="27" spans="1:15">
      <c r="A27" s="63">
        <f>MAX(A$14:A26)+1</f>
        <v>12</v>
      </c>
      <c r="C27" s="91" t="s">
        <v>34</v>
      </c>
      <c r="G27" s="25">
        <f>SUM(G25:G26)</f>
        <v>151.4999986111111</v>
      </c>
      <c r="I27" s="25">
        <f>SUM(I25:I26)</f>
        <v>4580784.9479740001</v>
      </c>
      <c r="K27" s="26">
        <f>SUM(K25:K26)</f>
        <v>229321.17300000001</v>
      </c>
      <c r="L27" s="27"/>
      <c r="M27" s="26">
        <f>SUM(M25:M26)</f>
        <v>4634.1210000000001</v>
      </c>
      <c r="O27" s="84">
        <f t="shared" si="1"/>
        <v>2.0207994488149597E-2</v>
      </c>
    </row>
    <row r="28" spans="1:15" ht="21.95" customHeight="1">
      <c r="A28" s="63">
        <f>MAX(A$14:A27)+1</f>
        <v>13</v>
      </c>
      <c r="C28" s="63" t="s">
        <v>35</v>
      </c>
      <c r="E28" s="85">
        <v>10</v>
      </c>
      <c r="G28" s="25">
        <f>'Exhibit-RMP(WRG-2R)'!C171+'Exhibit-RMP(WRG-2R)'!C172</f>
        <v>2647</v>
      </c>
      <c r="I28" s="25">
        <f>'Exhibit-RMP(WRG-2R)'!C184/1000</f>
        <v>170955.53200000001</v>
      </c>
      <c r="K28" s="26">
        <f>('Exhibit-RMP(WRG-2R)'!G184)/1000</f>
        <v>11991.091</v>
      </c>
      <c r="L28" s="27"/>
      <c r="M28" s="26">
        <f>('Exhibit-RMP(WRG-2R)'!K184)/1000</f>
        <v>201.06</v>
      </c>
      <c r="O28" s="84">
        <f t="shared" si="1"/>
        <v>1.6767448433174261E-2</v>
      </c>
    </row>
    <row r="29" spans="1:15">
      <c r="A29" s="63">
        <f>MAX(A$14:A28)+1</f>
        <v>14</v>
      </c>
      <c r="C29" s="63" t="s">
        <v>36</v>
      </c>
      <c r="E29" s="85" t="s">
        <v>37</v>
      </c>
      <c r="G29" s="36">
        <f>'Exhibit-RMP(WRG-2R)'!C187+'Exhibit-RMP(WRG-2R)'!C188</f>
        <v>263</v>
      </c>
      <c r="I29" s="36">
        <f>'Exhibit-RMP(WRG-2R)'!C200/1000</f>
        <v>16324.472</v>
      </c>
      <c r="K29" s="32">
        <f>('Exhibit-RMP(WRG-2R)'!G200)/1000</f>
        <v>1183.432</v>
      </c>
      <c r="L29" s="27"/>
      <c r="M29" s="32">
        <f>('Exhibit-RMP(WRG-2R)'!K200)/1000</f>
        <v>19.896999999999998</v>
      </c>
      <c r="O29" s="89">
        <f t="shared" si="1"/>
        <v>1.6812964327481427E-2</v>
      </c>
    </row>
    <row r="30" spans="1:15">
      <c r="A30" s="63">
        <f>MAX(A$14:A29)+1</f>
        <v>15</v>
      </c>
      <c r="C30" s="91" t="s">
        <v>38</v>
      </c>
      <c r="G30" s="25">
        <f>SUM(G28:G29)</f>
        <v>2910</v>
      </c>
      <c r="I30" s="25">
        <f>SUM(I28:I29)</f>
        <v>187280.00400000002</v>
      </c>
      <c r="K30" s="26">
        <f>SUM(K28:K29)</f>
        <v>13174.523000000001</v>
      </c>
      <c r="L30" s="27"/>
      <c r="M30" s="26">
        <f>SUM(M28:M29)</f>
        <v>220.95699999999999</v>
      </c>
      <c r="O30" s="84">
        <f t="shared" si="1"/>
        <v>1.6771537003654705E-2</v>
      </c>
    </row>
    <row r="31" spans="1:15" ht="21.95" customHeight="1">
      <c r="A31" s="63">
        <f>MAX(A$14:A30)+1</f>
        <v>16</v>
      </c>
      <c r="C31" s="63" t="s">
        <v>39</v>
      </c>
      <c r="E31" s="63">
        <v>21</v>
      </c>
      <c r="G31" s="25">
        <v>5</v>
      </c>
      <c r="I31" s="25">
        <f>'Exhibit-RMP(WRG-2R)'!C378/1000</f>
        <v>3287.9389999999999</v>
      </c>
      <c r="K31" s="26">
        <f>('Exhibit-RMP(WRG-2R)'!G378)/1000</f>
        <v>342.79199999999997</v>
      </c>
      <c r="L31" s="27"/>
      <c r="M31" s="26">
        <f>('Exhibit-RMP(WRG-2R)'!K378)/1000</f>
        <v>6.8550000000000004</v>
      </c>
      <c r="O31" s="84">
        <f t="shared" si="1"/>
        <v>1.9997549534411543E-2</v>
      </c>
    </row>
    <row r="32" spans="1:15">
      <c r="A32" s="63">
        <f>MAX(A$14:A31)+1</f>
        <v>17</v>
      </c>
      <c r="C32" s="63" t="s">
        <v>40</v>
      </c>
      <c r="E32" s="90">
        <v>23</v>
      </c>
      <c r="G32" s="25">
        <v>78052</v>
      </c>
      <c r="I32" s="25">
        <f>SUM('Exhibit-RMP(WRG-2R)'!C391)/1000</f>
        <v>1419326.149632778</v>
      </c>
      <c r="K32" s="26">
        <f>('Exhibit-RMP(WRG-2R)'!G391)/1000</f>
        <v>129897.91099999999</v>
      </c>
      <c r="L32" s="27"/>
      <c r="M32" s="26">
        <f>('Exhibit-RMP(WRG-2R)'!K391)/1000</f>
        <v>1943.5630000000001</v>
      </c>
      <c r="O32" s="84">
        <f t="shared" si="1"/>
        <v>1.4962234458104566E-2</v>
      </c>
    </row>
    <row r="33" spans="1:15">
      <c r="A33" s="63">
        <f>MAX(A$14:A32)+1</f>
        <v>18</v>
      </c>
      <c r="C33" s="63" t="s">
        <v>43</v>
      </c>
      <c r="E33" s="63">
        <v>31</v>
      </c>
      <c r="G33" s="25">
        <v>4</v>
      </c>
      <c r="I33" s="25">
        <f>'Exhibit-RMP(WRG-2R)'!C434/1000</f>
        <v>59778.839026000001</v>
      </c>
      <c r="K33" s="26">
        <f>'Exhibit-RMP(WRG-2R)'!G434/1000</f>
        <v>4870.0309999999999</v>
      </c>
      <c r="L33" s="27"/>
      <c r="M33" s="26">
        <f>'Exhibit-RMP(WRG-2R)'!K434/1000</f>
        <v>65.697999999999993</v>
      </c>
      <c r="O33" s="84">
        <f t="shared" si="1"/>
        <v>1.3490263203663384E-2</v>
      </c>
    </row>
    <row r="34" spans="1:15">
      <c r="A34" s="63">
        <f>MAX(A$14:A33)+1</f>
        <v>19</v>
      </c>
      <c r="C34" s="86" t="s">
        <v>44</v>
      </c>
      <c r="E34" s="85" t="s">
        <v>21</v>
      </c>
      <c r="G34" s="25">
        <v>1</v>
      </c>
      <c r="I34" s="25">
        <f>'Exhibit-RMP(WRG-2R)'!C442/1000</f>
        <v>543970.59100000001</v>
      </c>
      <c r="K34" s="26">
        <f>('Exhibit-RMP(WRG-2R)'!G442)/1000</f>
        <v>24224.835012471453</v>
      </c>
      <c r="L34" s="27"/>
      <c r="M34" s="26">
        <f>('Exhibit-RMP(WRG-2R)'!K442)/1000</f>
        <v>0</v>
      </c>
      <c r="O34" s="84">
        <f t="shared" si="1"/>
        <v>0</v>
      </c>
    </row>
    <row r="35" spans="1:15">
      <c r="A35" s="63">
        <f>MAX(A$14:A34)+1</f>
        <v>20</v>
      </c>
      <c r="C35" s="86" t="s">
        <v>45</v>
      </c>
      <c r="E35" s="85" t="s">
        <v>21</v>
      </c>
      <c r="G35" s="25">
        <v>1</v>
      </c>
      <c r="I35" s="25">
        <f>'Exhibit-RMP(WRG-2R)'!C447/1000</f>
        <v>717800.15174999996</v>
      </c>
      <c r="K35" s="26">
        <f>'Exhibit-RMP(WRG-2R)'!G447/1000</f>
        <v>26946.217696695003</v>
      </c>
      <c r="L35" s="27"/>
      <c r="M35" s="26">
        <f>'Exhibit-RMP(WRG-2R)'!K447/1000</f>
        <v>0</v>
      </c>
      <c r="O35" s="84">
        <f t="shared" si="1"/>
        <v>0</v>
      </c>
    </row>
    <row r="36" spans="1:15">
      <c r="A36" s="63">
        <f>MAX(A$14:A35)+1</f>
        <v>21</v>
      </c>
      <c r="C36" s="86" t="s">
        <v>46</v>
      </c>
      <c r="E36" s="85" t="s">
        <v>21</v>
      </c>
      <c r="G36" s="25">
        <v>1</v>
      </c>
      <c r="I36" s="25">
        <f>'Exhibit-RMP(WRG-2R)'!C463/1000</f>
        <v>1371599.1</v>
      </c>
      <c r="K36" s="26">
        <f>('Exhibit-RMP(WRG-2R)'!G463)/1000</f>
        <v>59055.879000000001</v>
      </c>
      <c r="L36" s="27"/>
      <c r="M36" s="26">
        <f>('Exhibit-RMP(WRG-2R)'!K463)/1000</f>
        <v>1197.1959999999999</v>
      </c>
      <c r="O36" s="84">
        <f t="shared" si="1"/>
        <v>2.0272257737455741E-2</v>
      </c>
    </row>
    <row r="37" spans="1:15">
      <c r="A37" s="63">
        <f>MAX(A$14:A36)+1</f>
        <v>22</v>
      </c>
      <c r="C37" s="86" t="s">
        <v>20</v>
      </c>
      <c r="E37" s="87" t="s">
        <v>21</v>
      </c>
      <c r="G37" s="88"/>
      <c r="I37" s="88" t="s">
        <v>21</v>
      </c>
      <c r="K37" s="32">
        <v>4490.4250999999995</v>
      </c>
      <c r="L37" s="27"/>
      <c r="M37" s="32"/>
      <c r="O37" s="89"/>
    </row>
    <row r="38" spans="1:15">
      <c r="A38" s="63">
        <f>MAX(A$14:A37)+1</f>
        <v>23</v>
      </c>
      <c r="C38" s="75" t="s">
        <v>47</v>
      </c>
      <c r="G38" s="25">
        <f>SUM(G20:G22,G24:G26,G28:G29,G31:G37)</f>
        <v>97328.749998611107</v>
      </c>
      <c r="I38" s="25">
        <f>SUM(I20:I22,I24:I26,I28:I29,I31:I37)</f>
        <v>17006045.944200002</v>
      </c>
      <c r="K38" s="26">
        <f>SUM(K20:K22,K24:K26,K28:K29,K31:K37)</f>
        <v>1108965.1938091666</v>
      </c>
      <c r="L38" s="27"/>
      <c r="M38" s="26">
        <f>SUM(M20:M22,M24:M26,M28:M29,M31:M37)</f>
        <v>17628.510999999999</v>
      </c>
      <c r="O38" s="84">
        <f t="shared" si="1"/>
        <v>1.5896360948397407E-2</v>
      </c>
    </row>
    <row r="39" spans="1:15" ht="35.1" customHeight="1">
      <c r="A39" s="63">
        <f>MAX(A$14:A38)+1</f>
        <v>24</v>
      </c>
      <c r="C39" s="92" t="s">
        <v>48</v>
      </c>
      <c r="G39" s="25">
        <f>G38-SUM(G34:G35,G37)</f>
        <v>97326.749998611107</v>
      </c>
      <c r="I39" s="25">
        <f>I38-SUM(I34:I35,I37)</f>
        <v>15744275.201450001</v>
      </c>
      <c r="K39" s="26">
        <f>K38-SUM(K34:K35,K37)</f>
        <v>1053303.716</v>
      </c>
      <c r="L39" s="27"/>
      <c r="M39" s="26">
        <f>M38-SUM(M34:M35,M37)</f>
        <v>17628.510999999999</v>
      </c>
      <c r="O39" s="84">
        <f t="shared" si="1"/>
        <v>1.6736398753956355E-2</v>
      </c>
    </row>
    <row r="40" spans="1:15" ht="24.95" customHeight="1">
      <c r="C40" s="75" t="s">
        <v>49</v>
      </c>
      <c r="G40" s="25"/>
      <c r="I40" s="25"/>
      <c r="K40" s="26"/>
      <c r="L40" s="27"/>
      <c r="M40" s="26"/>
      <c r="O40" s="84"/>
    </row>
    <row r="41" spans="1:15">
      <c r="A41" s="63">
        <f>MAX(A$14:A40)+1</f>
        <v>25</v>
      </c>
      <c r="C41" s="63" t="s">
        <v>50</v>
      </c>
      <c r="E41" s="63">
        <v>7</v>
      </c>
      <c r="G41" s="25">
        <v>7865</v>
      </c>
      <c r="I41" s="25">
        <f>'Exhibit-RMP(WRG-2R)'!C137/1000</f>
        <v>12321.574480000001</v>
      </c>
      <c r="K41" s="26">
        <f>('Exhibit-RMP(WRG-2R)'!G137)/1000</f>
        <v>2964.7280000000001</v>
      </c>
      <c r="L41" s="27"/>
      <c r="M41" s="26">
        <f>('Exhibit-RMP(WRG-2R)'!K137)/1000</f>
        <v>0</v>
      </c>
      <c r="O41" s="84">
        <f t="shared" si="1"/>
        <v>0</v>
      </c>
    </row>
    <row r="42" spans="1:15">
      <c r="A42" s="63">
        <f>MAX(A$14:A41)+1</f>
        <v>26</v>
      </c>
      <c r="C42" s="63" t="s">
        <v>51</v>
      </c>
      <c r="E42" s="63">
        <v>11</v>
      </c>
      <c r="G42" s="25">
        <f>'Exhibit-RMP(WRG-2R)'!C250</f>
        <v>834.33333333333337</v>
      </c>
      <c r="I42" s="25">
        <f>'Exhibit-RMP(WRG-2R)'!C252/1000</f>
        <v>17077.687000000002</v>
      </c>
      <c r="K42" s="26">
        <f>('Exhibit-RMP(WRG-2R)'!G252)/1000</f>
        <v>5089.2430000000004</v>
      </c>
      <c r="L42" s="27"/>
      <c r="M42" s="26">
        <f>('Exhibit-RMP(WRG-2R)'!K252)/1000</f>
        <v>0</v>
      </c>
      <c r="O42" s="84">
        <f t="shared" si="1"/>
        <v>0</v>
      </c>
    </row>
    <row r="43" spans="1:15">
      <c r="A43" s="63">
        <f>MAX(A$14:A42)+1</f>
        <v>27</v>
      </c>
      <c r="C43" s="63" t="s">
        <v>52</v>
      </c>
      <c r="E43" s="63">
        <v>12</v>
      </c>
      <c r="G43" s="25">
        <f>'Exhibit-RMP(WRG-2R)'!C344</f>
        <v>781.66666666666674</v>
      </c>
      <c r="I43" s="39">
        <f>'Exhibit-RMP(WRG-2R)'!C346/1000</f>
        <v>55429.428999999996</v>
      </c>
      <c r="K43" s="26">
        <f>('Exhibit-RMP(WRG-2R)'!G346)/1000</f>
        <v>4058.8130000000001</v>
      </c>
      <c r="L43" s="27"/>
      <c r="M43" s="26">
        <f>('Exhibit-RMP(WRG-2R)'!K346)/1000</f>
        <v>0</v>
      </c>
      <c r="O43" s="84">
        <f t="shared" si="1"/>
        <v>0</v>
      </c>
    </row>
    <row r="44" spans="1:15" s="82" customFormat="1">
      <c r="A44" s="82">
        <f>MAX(A$14:A43)+1</f>
        <v>28</v>
      </c>
      <c r="C44" s="82" t="s">
        <v>53</v>
      </c>
      <c r="D44" s="93"/>
      <c r="E44" s="82">
        <v>15</v>
      </c>
      <c r="F44" s="93"/>
      <c r="G44" s="42">
        <f>('Exhibit-RMP(WRG-2R)'!C352)/12</f>
        <v>538.91666666666663</v>
      </c>
      <c r="H44" s="93"/>
      <c r="I44" s="42">
        <f>('Exhibit-RMP(WRG-2R)'!C355)/1000</f>
        <v>15717.486000000001</v>
      </c>
      <c r="J44" s="93"/>
      <c r="K44" s="43">
        <f>('Exhibit-RMP(WRG-2R)'!G355)/1000</f>
        <v>1144.626</v>
      </c>
      <c r="L44" s="44"/>
      <c r="M44" s="43">
        <f>('Exhibit-RMP(WRG-2R)'!K355)/1000</f>
        <v>0</v>
      </c>
      <c r="N44" s="93"/>
      <c r="O44" s="94">
        <f t="shared" si="1"/>
        <v>0</v>
      </c>
    </row>
    <row r="45" spans="1:15">
      <c r="A45" s="63">
        <f>MAX(A$14:A44)+1</f>
        <v>29</v>
      </c>
      <c r="C45" s="63" t="s">
        <v>54</v>
      </c>
      <c r="E45" s="63">
        <v>15</v>
      </c>
      <c r="G45" s="36">
        <f>'Exhibit-RMP(WRG-2R)'!C358/12</f>
        <v>2478.6666666666665</v>
      </c>
      <c r="I45" s="36">
        <f>'Exhibit-RMP(WRG-2R)'!C361/1000</f>
        <v>5662.7629999999999</v>
      </c>
      <c r="K45" s="32">
        <f>('Exhibit-RMP(WRG-2R)'!G361)/1000</f>
        <v>584.89400000000001</v>
      </c>
      <c r="L45" s="27"/>
      <c r="M45" s="32">
        <f>('Exhibit-RMP(WRG-2R)'!K361)/1000</f>
        <v>10.076000000000001</v>
      </c>
      <c r="O45" s="89">
        <f t="shared" si="1"/>
        <v>1.7227053107058715E-2</v>
      </c>
    </row>
    <row r="46" spans="1:15">
      <c r="A46" s="63">
        <f>MAX(A$14:A45)+1</f>
        <v>30</v>
      </c>
      <c r="C46" s="91" t="s">
        <v>55</v>
      </c>
      <c r="D46" s="45"/>
      <c r="F46" s="45"/>
      <c r="G46" s="25">
        <f>SUM(G41:G45)</f>
        <v>12498.583333333332</v>
      </c>
      <c r="H46" s="45"/>
      <c r="I46" s="25">
        <f>SUM(I41:I45)</f>
        <v>106208.93948</v>
      </c>
      <c r="J46" s="45"/>
      <c r="K46" s="26">
        <f>SUM(K41:K45)</f>
        <v>13842.304</v>
      </c>
      <c r="L46" s="26"/>
      <c r="M46" s="26">
        <f>SUM(M41:M45)</f>
        <v>10.076000000000001</v>
      </c>
      <c r="N46" s="45"/>
      <c r="O46" s="84">
        <f t="shared" si="1"/>
        <v>7.2791350341677231E-4</v>
      </c>
    </row>
    <row r="47" spans="1:15" ht="21.95" customHeight="1">
      <c r="A47" s="63">
        <f>MAX(A$14:A46)+1</f>
        <v>31</v>
      </c>
      <c r="C47" s="86" t="s">
        <v>56</v>
      </c>
      <c r="E47" s="85" t="s">
        <v>21</v>
      </c>
      <c r="G47" s="25">
        <v>5</v>
      </c>
      <c r="I47" s="25">
        <f>'Exhibit-RMP(WRG-2R)'!C479/1000</f>
        <v>7.9721299999999999</v>
      </c>
      <c r="K47" s="26">
        <f>'Exhibit-RMP(WRG-2R)'!G479/1000</f>
        <v>0.60099999999999998</v>
      </c>
      <c r="L47" s="27"/>
      <c r="M47" s="26">
        <f>'Exhibit-RMP(WRG-2R)'!K479/1000</f>
        <v>0</v>
      </c>
      <c r="O47" s="84">
        <f t="shared" si="1"/>
        <v>0</v>
      </c>
    </row>
    <row r="48" spans="1:15">
      <c r="A48" s="63">
        <f>MAX(A$14:A47)+1</f>
        <v>32</v>
      </c>
      <c r="C48" s="95" t="s">
        <v>57</v>
      </c>
      <c r="E48" s="85" t="s">
        <v>21</v>
      </c>
      <c r="G48" s="25">
        <v>1</v>
      </c>
      <c r="I48" s="25">
        <f>'Exhibit-RMP(WRG-2R)'!C470/1000</f>
        <v>135.42099999999999</v>
      </c>
      <c r="K48" s="26">
        <f>'Exhibit-RMP(WRG-2R)'!G470/1000</f>
        <v>17.277000000000001</v>
      </c>
      <c r="L48" s="27"/>
      <c r="M48" s="26">
        <f>'Exhibit-RMP(WRG-2R)'!K470/1000</f>
        <v>0</v>
      </c>
      <c r="O48" s="84">
        <f t="shared" si="1"/>
        <v>0</v>
      </c>
    </row>
    <row r="49" spans="1:15">
      <c r="A49" s="63">
        <f>MAX(A$14:A48)+1</f>
        <v>33</v>
      </c>
      <c r="C49" s="86" t="s">
        <v>20</v>
      </c>
      <c r="D49" s="47"/>
      <c r="E49" s="87" t="s">
        <v>21</v>
      </c>
      <c r="F49" s="47"/>
      <c r="G49" s="48"/>
      <c r="H49" s="47"/>
      <c r="I49" s="48" t="s">
        <v>21</v>
      </c>
      <c r="J49" s="47"/>
      <c r="K49" s="32">
        <v>4.6616400000000002</v>
      </c>
      <c r="L49" s="27"/>
      <c r="M49" s="32"/>
      <c r="N49" s="47"/>
      <c r="O49" s="89"/>
    </row>
    <row r="50" spans="1:15" ht="21.95" customHeight="1">
      <c r="A50" s="63">
        <f>MAX(A$14:A49)+1</f>
        <v>34</v>
      </c>
      <c r="C50" s="75" t="s">
        <v>58</v>
      </c>
      <c r="E50" s="82"/>
      <c r="G50" s="36">
        <f>SUM(G47:G49)+G46</f>
        <v>12504.583333333332</v>
      </c>
      <c r="I50" s="36">
        <f>SUM(I47:I49)+I46</f>
        <v>106352.33261</v>
      </c>
      <c r="K50" s="32">
        <f>SUM(K47:K49)+K46</f>
        <v>13864.843640000001</v>
      </c>
      <c r="L50" s="27"/>
      <c r="M50" s="32">
        <f>SUM(M47:M49)+M46</f>
        <v>10.076000000000001</v>
      </c>
      <c r="O50" s="89">
        <f t="shared" si="1"/>
        <v>7.2673015734059875E-4</v>
      </c>
    </row>
    <row r="51" spans="1:15" ht="24.95" customHeight="1" thickBot="1">
      <c r="A51" s="63">
        <f>MAX(A$14:A50)+1</f>
        <v>35</v>
      </c>
      <c r="C51" s="75" t="s">
        <v>59</v>
      </c>
      <c r="E51" s="82"/>
      <c r="G51" s="50">
        <f>G50+G38+G18</f>
        <v>829772.99999861105</v>
      </c>
      <c r="I51" s="50">
        <f>I50+I38+I18</f>
        <v>23734642.546709999</v>
      </c>
      <c r="K51" s="51">
        <f>K50+K38+K18</f>
        <v>1772847.4974491666</v>
      </c>
      <c r="L51" s="27"/>
      <c r="M51" s="51">
        <f>M50+M38+M18</f>
        <v>28892.911</v>
      </c>
      <c r="O51" s="96">
        <f t="shared" si="1"/>
        <v>1.6297459900849964E-2</v>
      </c>
    </row>
    <row r="52" spans="1:15" ht="35.1" customHeight="1" thickTop="1" thickBot="1">
      <c r="A52" s="63">
        <f>MAX(A$14:A51)+1</f>
        <v>36</v>
      </c>
      <c r="C52" s="97" t="s">
        <v>60</v>
      </c>
      <c r="E52" s="82"/>
      <c r="G52" s="50">
        <f>G46+G39+G18-G17</f>
        <v>829764.99999861105</v>
      </c>
      <c r="I52" s="50">
        <f>I46+I39+I18-I17</f>
        <v>22472728.410829999</v>
      </c>
      <c r="K52" s="51">
        <f>K46+K39+K18-K17</f>
        <v>1717126.919</v>
      </c>
      <c r="L52" s="27"/>
      <c r="M52" s="51">
        <f>M46+M39+M18-M17</f>
        <v>28892.911</v>
      </c>
      <c r="O52" s="96">
        <f t="shared" si="1"/>
        <v>1.6826310670632495E-2</v>
      </c>
    </row>
    <row r="53" spans="1:15" ht="16.5" thickTop="1">
      <c r="E53" s="82"/>
    </row>
    <row r="54" spans="1:15">
      <c r="C54" s="86"/>
      <c r="K54" s="26"/>
      <c r="M54" s="26"/>
    </row>
    <row r="55" spans="1:15">
      <c r="C55" s="86"/>
      <c r="K55" s="33"/>
      <c r="M55" s="26">
        <f>M51-RateSpread!M51</f>
        <v>0.80325650017039152</v>
      </c>
    </row>
    <row r="56" spans="1:15">
      <c r="K56" s="33"/>
    </row>
  </sheetData>
  <printOptions horizontalCentered="1"/>
  <pageMargins left="0.5" right="0.5" top="1" bottom="0.5" header="0.5" footer="0.2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/>
  <dimension ref="A1:P491"/>
  <sheetViews>
    <sheetView view="pageBreakPreview" zoomScale="60" zoomScaleNormal="70" workbookViewId="0">
      <selection activeCell="O181" sqref="O181"/>
    </sheetView>
  </sheetViews>
  <sheetFormatPr defaultColWidth="9" defaultRowHeight="15.75"/>
  <cols>
    <col min="1" max="1" width="33.25" style="108" customWidth="1"/>
    <col min="2" max="2" width="4.125" style="108" bestFit="1" customWidth="1"/>
    <col min="3" max="3" width="16.25" style="108" bestFit="1" customWidth="1"/>
    <col min="4" max="4" width="1" style="109" customWidth="1"/>
    <col min="5" max="5" width="10" style="108" bestFit="1" customWidth="1"/>
    <col min="6" max="6" width="2.25" style="109" bestFit="1" customWidth="1"/>
    <col min="7" max="7" width="15.5" style="108" bestFit="1" customWidth="1"/>
    <col min="8" max="8" width="1" style="109" customWidth="1"/>
    <col min="9" max="9" width="10.875" style="258" bestFit="1" customWidth="1"/>
    <col min="10" max="10" width="2.25" style="109" bestFit="1" customWidth="1"/>
    <col min="11" max="11" width="15.5" style="108" customWidth="1"/>
    <col min="12" max="12" width="2.375" style="108" customWidth="1"/>
    <col min="13" max="13" width="18" style="108" customWidth="1"/>
    <col min="14" max="14" width="13.75" style="105" customWidth="1"/>
    <col min="15" max="15" width="8" style="105" bestFit="1" customWidth="1"/>
    <col min="16" max="16" width="12.625" style="105" bestFit="1" customWidth="1"/>
    <col min="17" max="17" width="6.75" style="105" bestFit="1" customWidth="1"/>
    <col min="18" max="16384" width="9" style="105"/>
  </cols>
  <sheetData>
    <row r="1" spans="1:16" ht="18.75">
      <c r="A1" s="98" t="s">
        <v>62</v>
      </c>
      <c r="B1" s="99"/>
      <c r="C1" s="99"/>
      <c r="D1" s="100"/>
      <c r="E1" s="99"/>
      <c r="F1" s="100"/>
      <c r="G1" s="99"/>
      <c r="H1" s="100"/>
      <c r="I1" s="257"/>
      <c r="J1" s="100"/>
      <c r="K1" s="101"/>
      <c r="L1" s="102"/>
      <c r="M1" s="102"/>
      <c r="N1" s="103"/>
      <c r="O1" s="104"/>
    </row>
    <row r="2" spans="1:16" ht="18.75">
      <c r="A2" s="98" t="s">
        <v>63</v>
      </c>
      <c r="B2" s="99"/>
      <c r="C2" s="99"/>
      <c r="D2" s="100"/>
      <c r="E2" s="99"/>
      <c r="F2" s="100"/>
      <c r="G2" s="99"/>
      <c r="H2" s="100"/>
      <c r="I2" s="257"/>
      <c r="J2" s="100"/>
      <c r="K2" s="101"/>
      <c r="L2" s="106"/>
      <c r="M2" s="106"/>
      <c r="N2" s="103"/>
      <c r="O2" s="104"/>
    </row>
    <row r="3" spans="1:16" ht="18.75">
      <c r="A3" s="98" t="s">
        <v>343</v>
      </c>
      <c r="B3" s="99"/>
      <c r="C3" s="99"/>
      <c r="D3" s="100"/>
      <c r="E3" s="99"/>
      <c r="F3" s="100"/>
      <c r="G3" s="99"/>
      <c r="H3" s="100"/>
      <c r="I3" s="257"/>
      <c r="J3" s="100"/>
      <c r="K3" s="101"/>
      <c r="L3" s="106"/>
      <c r="M3" s="106"/>
      <c r="N3" s="103"/>
      <c r="O3" s="104"/>
    </row>
    <row r="4" spans="1:16" ht="18.75">
      <c r="A4" s="98" t="s">
        <v>344</v>
      </c>
      <c r="B4" s="99"/>
      <c r="C4" s="99"/>
      <c r="D4" s="100"/>
      <c r="E4" s="99"/>
      <c r="F4" s="100"/>
      <c r="G4" s="99"/>
      <c r="H4" s="100"/>
      <c r="I4" s="257"/>
      <c r="J4" s="100"/>
      <c r="K4" s="101"/>
      <c r="L4" s="106"/>
      <c r="M4" s="106"/>
      <c r="N4" s="107"/>
      <c r="O4" s="104"/>
    </row>
    <row r="5" spans="1:16">
      <c r="C5" s="57"/>
      <c r="L5" s="110"/>
      <c r="M5" s="110"/>
      <c r="N5" s="110"/>
    </row>
    <row r="6" spans="1:16" ht="32.25" customHeight="1">
      <c r="C6" s="111"/>
      <c r="F6" s="106"/>
      <c r="G6" s="112"/>
      <c r="J6" s="106"/>
      <c r="K6" s="112"/>
      <c r="L6" s="112"/>
    </row>
    <row r="7" spans="1:16">
      <c r="C7" s="113"/>
      <c r="E7" s="112"/>
      <c r="F7" s="106"/>
      <c r="G7" s="112" t="s">
        <v>64</v>
      </c>
      <c r="I7" s="259" t="s">
        <v>5</v>
      </c>
      <c r="J7" s="106"/>
      <c r="K7" s="112" t="s">
        <v>5</v>
      </c>
      <c r="L7" s="112"/>
      <c r="N7" s="114"/>
    </row>
    <row r="8" spans="1:16">
      <c r="C8" s="115" t="s">
        <v>64</v>
      </c>
      <c r="E8" s="112" t="s">
        <v>4</v>
      </c>
      <c r="F8" s="106"/>
      <c r="G8" s="112" t="s">
        <v>65</v>
      </c>
      <c r="I8" s="259" t="s">
        <v>368</v>
      </c>
      <c r="J8" s="106"/>
      <c r="K8" s="112" t="s">
        <v>369</v>
      </c>
      <c r="L8" s="112"/>
      <c r="M8" s="285" t="s">
        <v>397</v>
      </c>
      <c r="N8" s="284">
        <v>4</v>
      </c>
    </row>
    <row r="9" spans="1:16">
      <c r="C9" s="116" t="s">
        <v>66</v>
      </c>
      <c r="E9" s="117" t="s">
        <v>67</v>
      </c>
      <c r="F9" s="106"/>
      <c r="G9" s="118" t="s">
        <v>68</v>
      </c>
      <c r="I9" s="260" t="s">
        <v>67</v>
      </c>
      <c r="J9" s="106"/>
      <c r="K9" s="118" t="s">
        <v>68</v>
      </c>
      <c r="L9" s="106"/>
      <c r="M9" s="119"/>
      <c r="N9" s="120"/>
    </row>
    <row r="10" spans="1:16">
      <c r="A10" s="122" t="s">
        <v>69</v>
      </c>
      <c r="C10" s="57"/>
      <c r="M10" s="123" t="s">
        <v>70</v>
      </c>
      <c r="N10" s="56"/>
      <c r="O10" s="124"/>
      <c r="P10" s="124"/>
    </row>
    <row r="11" spans="1:16">
      <c r="A11" s="125" t="s">
        <v>71</v>
      </c>
      <c r="C11" s="120">
        <v>8214896.8556569237</v>
      </c>
      <c r="E11" s="54"/>
      <c r="F11" s="126"/>
      <c r="G11" s="114"/>
      <c r="I11" s="255"/>
      <c r="J11" s="126"/>
      <c r="K11" s="114"/>
      <c r="L11" s="114"/>
      <c r="M11" s="127" t="s">
        <v>72</v>
      </c>
      <c r="N11" s="128">
        <f>K25+K42+K61</f>
        <v>11254324</v>
      </c>
      <c r="O11" s="124"/>
    </row>
    <row r="12" spans="1:16">
      <c r="A12" s="125" t="s">
        <v>73</v>
      </c>
      <c r="C12" s="130">
        <v>8074116</v>
      </c>
      <c r="E12" s="54">
        <v>4</v>
      </c>
      <c r="F12" s="126"/>
      <c r="G12" s="114">
        <v>32296464</v>
      </c>
      <c r="I12" s="255"/>
      <c r="J12" s="126"/>
      <c r="K12" s="114"/>
      <c r="L12" s="114"/>
      <c r="M12" s="131" t="s">
        <v>74</v>
      </c>
      <c r="N12" s="132">
        <f>(RateSpread!M15+RateSpread!M16)*1000</f>
        <v>11279122.350585623</v>
      </c>
      <c r="O12" s="124"/>
    </row>
    <row r="13" spans="1:16">
      <c r="A13" s="125" t="s">
        <v>75</v>
      </c>
      <c r="C13" s="130">
        <v>7581</v>
      </c>
      <c r="E13" s="54">
        <v>8</v>
      </c>
      <c r="F13" s="126"/>
      <c r="G13" s="114">
        <v>60648</v>
      </c>
      <c r="I13" s="255"/>
      <c r="J13" s="126"/>
      <c r="K13" s="114"/>
      <c r="L13" s="114"/>
      <c r="M13" s="133" t="s">
        <v>76</v>
      </c>
      <c r="N13" s="134">
        <f>N12-N11</f>
        <v>24798.350585622713</v>
      </c>
      <c r="O13" s="124"/>
    </row>
    <row r="14" spans="1:16">
      <c r="A14" s="125" t="s">
        <v>77</v>
      </c>
      <c r="C14" s="120">
        <v>1248801465</v>
      </c>
      <c r="E14" s="135">
        <v>8.4003999999999994</v>
      </c>
      <c r="F14" s="136" t="s">
        <v>78</v>
      </c>
      <c r="G14" s="114">
        <v>104904318</v>
      </c>
      <c r="I14" s="255">
        <f>N15</f>
        <v>1.83E-2</v>
      </c>
      <c r="J14" s="136"/>
      <c r="K14" s="114">
        <f>ROUND(G14*I14,0)</f>
        <v>1919749</v>
      </c>
      <c r="L14" s="114"/>
      <c r="M14" s="137"/>
      <c r="N14" s="138"/>
      <c r="O14" s="255">
        <f>K14/G14</f>
        <v>1.8299999815069575E-2</v>
      </c>
    </row>
    <row r="15" spans="1:16">
      <c r="A15" s="125" t="s">
        <v>80</v>
      </c>
      <c r="C15" s="120">
        <v>1034266177</v>
      </c>
      <c r="E15" s="135">
        <v>10.348100000000001</v>
      </c>
      <c r="F15" s="136" t="s">
        <v>78</v>
      </c>
      <c r="G15" s="114">
        <v>107026898</v>
      </c>
      <c r="I15" s="255">
        <f>I14</f>
        <v>1.83E-2</v>
      </c>
      <c r="J15" s="136"/>
      <c r="K15" s="114">
        <f t="shared" ref="K15:K17" si="0">ROUND(G15*I15,0)</f>
        <v>1958592</v>
      </c>
      <c r="L15" s="114"/>
      <c r="M15" s="139" t="s">
        <v>81</v>
      </c>
      <c r="N15" s="168">
        <f>ROUND(N12/SUM(G14:G17,G31:G34,G50:G53),4)</f>
        <v>1.83E-2</v>
      </c>
      <c r="O15" s="255">
        <f t="shared" ref="O15:O17" si="1">K15/G15</f>
        <v>1.8299997819239796E-2</v>
      </c>
    </row>
    <row r="16" spans="1:16">
      <c r="A16" s="125" t="s">
        <v>82</v>
      </c>
      <c r="C16" s="120">
        <v>584936494</v>
      </c>
      <c r="E16" s="135">
        <v>12.870900000000001</v>
      </c>
      <c r="F16" s="136" t="s">
        <v>78</v>
      </c>
      <c r="G16" s="114">
        <v>75286591</v>
      </c>
      <c r="I16" s="255">
        <f>I14</f>
        <v>1.83E-2</v>
      </c>
      <c r="J16" s="136"/>
      <c r="K16" s="114">
        <f t="shared" si="0"/>
        <v>1377745</v>
      </c>
      <c r="L16" s="114"/>
      <c r="M16" s="139"/>
      <c r="N16" s="141"/>
      <c r="O16" s="255">
        <f t="shared" si="1"/>
        <v>1.8300005109807668E-2</v>
      </c>
    </row>
    <row r="17" spans="1:15">
      <c r="A17" s="125" t="s">
        <v>83</v>
      </c>
      <c r="C17" s="120">
        <v>3463390447</v>
      </c>
      <c r="E17" s="143">
        <v>8.7035</v>
      </c>
      <c r="F17" s="136" t="s">
        <v>78</v>
      </c>
      <c r="G17" s="114">
        <v>301436188</v>
      </c>
      <c r="I17" s="255">
        <f>I14</f>
        <v>1.83E-2</v>
      </c>
      <c r="J17" s="136"/>
      <c r="K17" s="114">
        <f t="shared" si="0"/>
        <v>5516282</v>
      </c>
      <c r="L17" s="114"/>
      <c r="M17" s="139"/>
      <c r="N17" s="144"/>
      <c r="O17" s="255">
        <f t="shared" si="1"/>
        <v>1.8299999202484606E-2</v>
      </c>
    </row>
    <row r="18" spans="1:15">
      <c r="A18" s="125" t="s">
        <v>84</v>
      </c>
      <c r="C18" s="130">
        <v>133006</v>
      </c>
      <c r="E18" s="54">
        <v>7</v>
      </c>
      <c r="F18" s="126"/>
      <c r="G18" s="114">
        <v>931042</v>
      </c>
      <c r="I18" s="255"/>
      <c r="J18" s="126"/>
      <c r="K18" s="114"/>
      <c r="L18" s="114"/>
      <c r="M18" s="139"/>
      <c r="N18" s="140"/>
      <c r="O18" s="142"/>
    </row>
    <row r="19" spans="1:15">
      <c r="A19" s="125" t="s">
        <v>85</v>
      </c>
      <c r="C19" s="120">
        <v>193.8556569237262</v>
      </c>
      <c r="E19" s="54">
        <v>14</v>
      </c>
      <c r="F19" s="145"/>
      <c r="G19" s="114">
        <v>2714</v>
      </c>
      <c r="I19" s="255"/>
      <c r="J19" s="145"/>
      <c r="K19" s="114"/>
      <c r="L19" s="114"/>
      <c r="M19" s="139"/>
      <c r="N19" s="140"/>
      <c r="O19" s="142"/>
    </row>
    <row r="20" spans="1:15">
      <c r="A20" s="125" t="s">
        <v>86</v>
      </c>
      <c r="C20" s="120">
        <v>0</v>
      </c>
      <c r="E20" s="54">
        <v>84</v>
      </c>
      <c r="F20" s="145"/>
      <c r="G20" s="114">
        <v>0</v>
      </c>
      <c r="I20" s="256"/>
      <c r="J20" s="145"/>
      <c r="K20" s="147"/>
      <c r="L20" s="114"/>
      <c r="M20" s="137" t="s">
        <v>87</v>
      </c>
      <c r="N20" s="148">
        <f>(C25+C42)/(C11+C28)</f>
        <v>766.53412479096016</v>
      </c>
      <c r="O20" s="142"/>
    </row>
    <row r="21" spans="1:15">
      <c r="A21" s="149" t="s">
        <v>88</v>
      </c>
      <c r="C21" s="130">
        <v>1397931.7133073807</v>
      </c>
      <c r="E21" s="143"/>
      <c r="F21" s="136"/>
      <c r="G21" s="147"/>
      <c r="I21" s="255"/>
      <c r="J21" s="136"/>
      <c r="K21" s="147"/>
      <c r="L21" s="114"/>
      <c r="M21" s="139" t="s">
        <v>89</v>
      </c>
      <c r="N21" s="150">
        <f>SUM(C14:C16,C22,C31:C33,C39)/(SUM(C11,C28)*5/12)</f>
        <v>833.10766861015759</v>
      </c>
      <c r="O21" s="129"/>
    </row>
    <row r="22" spans="1:15">
      <c r="A22" s="149" t="s">
        <v>90</v>
      </c>
      <c r="B22" s="109"/>
      <c r="C22" s="120">
        <v>619354</v>
      </c>
      <c r="E22" s="143"/>
      <c r="F22" s="136"/>
      <c r="G22" s="114"/>
      <c r="I22" s="255"/>
      <c r="J22" s="136"/>
      <c r="K22" s="114"/>
      <c r="L22" s="147"/>
      <c r="M22" s="151" t="s">
        <v>91</v>
      </c>
      <c r="N22" s="152">
        <f>SUM(C17,C23,C34,C40)/(SUM(C11,C28)*7/12)</f>
        <v>718.98159349153343</v>
      </c>
    </row>
    <row r="23" spans="1:15">
      <c r="A23" s="149" t="s">
        <v>92</v>
      </c>
      <c r="B23" s="109"/>
      <c r="C23" s="130">
        <v>778577.71330738068</v>
      </c>
      <c r="E23" s="143"/>
      <c r="F23" s="136"/>
      <c r="G23" s="114"/>
      <c r="I23" s="255"/>
      <c r="J23" s="136"/>
      <c r="K23" s="114"/>
      <c r="L23" s="147"/>
      <c r="M23" s="151" t="s">
        <v>61</v>
      </c>
      <c r="N23" s="153"/>
    </row>
    <row r="24" spans="1:15">
      <c r="A24" s="125" t="s">
        <v>93</v>
      </c>
      <c r="C24" s="58">
        <v>0</v>
      </c>
      <c r="G24" s="154">
        <v>0</v>
      </c>
      <c r="K24" s="154"/>
      <c r="L24" s="147"/>
    </row>
    <row r="25" spans="1:15" s="124" customFormat="1" ht="16.5" thickBot="1">
      <c r="A25" s="125" t="s">
        <v>94</v>
      </c>
      <c r="B25" s="108"/>
      <c r="C25" s="156">
        <v>6332792514.7133074</v>
      </c>
      <c r="D25" s="109"/>
      <c r="E25" s="157"/>
      <c r="F25" s="109"/>
      <c r="G25" s="158">
        <v>621944863</v>
      </c>
      <c r="H25" s="109"/>
      <c r="I25" s="261"/>
      <c r="J25" s="109"/>
      <c r="K25" s="158">
        <f>SUM(K12:K24)</f>
        <v>10772368</v>
      </c>
      <c r="L25" s="147"/>
    </row>
    <row r="26" spans="1:15" ht="16.5" thickTop="1">
      <c r="C26" s="159"/>
      <c r="L26" s="147"/>
      <c r="O26" s="155"/>
    </row>
    <row r="27" spans="1:15">
      <c r="A27" s="122" t="s">
        <v>95</v>
      </c>
      <c r="C27" s="57"/>
      <c r="L27" s="147"/>
      <c r="O27" s="155"/>
    </row>
    <row r="28" spans="1:15">
      <c r="A28" s="125" t="s">
        <v>71</v>
      </c>
      <c r="C28" s="130">
        <v>420053.73642604146</v>
      </c>
      <c r="E28" s="54"/>
      <c r="F28" s="126"/>
      <c r="G28" s="114"/>
      <c r="I28" s="255"/>
      <c r="J28" s="126"/>
      <c r="K28" s="114"/>
    </row>
    <row r="29" spans="1:15">
      <c r="A29" s="125" t="s">
        <v>73</v>
      </c>
      <c r="C29" s="130">
        <v>418089</v>
      </c>
      <c r="E29" s="54">
        <v>4</v>
      </c>
      <c r="F29" s="126"/>
      <c r="G29" s="114">
        <v>1672356</v>
      </c>
      <c r="I29" s="255"/>
      <c r="J29" s="126"/>
      <c r="K29" s="114"/>
    </row>
    <row r="30" spans="1:15">
      <c r="A30" s="125" t="s">
        <v>75</v>
      </c>
      <c r="C30" s="130">
        <v>240</v>
      </c>
      <c r="E30" s="54">
        <v>8</v>
      </c>
      <c r="F30" s="126"/>
      <c r="G30" s="114">
        <v>1920</v>
      </c>
      <c r="I30" s="255"/>
      <c r="J30" s="126"/>
      <c r="K30" s="114"/>
    </row>
    <row r="31" spans="1:15">
      <c r="A31" s="125" t="s">
        <v>77</v>
      </c>
      <c r="C31" s="120">
        <v>69051504.375377804</v>
      </c>
      <c r="E31" s="143">
        <v>8.4003999999999994</v>
      </c>
      <c r="F31" s="136" t="s">
        <v>78</v>
      </c>
      <c r="G31" s="114">
        <v>5800603</v>
      </c>
      <c r="I31" s="255">
        <f t="shared" ref="I31:I34" si="2">I14</f>
        <v>1.83E-2</v>
      </c>
      <c r="J31" s="136"/>
      <c r="K31" s="114">
        <f t="shared" ref="K31:K34" si="3">ROUND(G31*I31,0)</f>
        <v>106151</v>
      </c>
      <c r="O31" s="255">
        <f t="shared" ref="O31:O34" si="4">K31/G31</f>
        <v>1.8299993983384142E-2</v>
      </c>
    </row>
    <row r="32" spans="1:15">
      <c r="A32" s="125" t="s">
        <v>80</v>
      </c>
      <c r="C32" s="120">
        <v>45544091.540712476</v>
      </c>
      <c r="E32" s="143">
        <v>10.348100000000001</v>
      </c>
      <c r="F32" s="136" t="s">
        <v>78</v>
      </c>
      <c r="G32" s="114">
        <v>4712948</v>
      </c>
      <c r="I32" s="255">
        <f t="shared" si="2"/>
        <v>1.83E-2</v>
      </c>
      <c r="J32" s="136"/>
      <c r="K32" s="114">
        <f t="shared" si="3"/>
        <v>86247</v>
      </c>
      <c r="L32" s="114"/>
      <c r="O32" s="255">
        <f t="shared" si="4"/>
        <v>1.8300010948561284E-2</v>
      </c>
    </row>
    <row r="33" spans="1:15">
      <c r="A33" s="125" t="s">
        <v>82</v>
      </c>
      <c r="C33" s="120">
        <v>14206866.868778445</v>
      </c>
      <c r="E33" s="143">
        <v>12.870900000000001</v>
      </c>
      <c r="F33" s="136" t="s">
        <v>78</v>
      </c>
      <c r="G33" s="114">
        <v>1828552</v>
      </c>
      <c r="I33" s="255">
        <f t="shared" si="2"/>
        <v>1.83E-2</v>
      </c>
      <c r="J33" s="136"/>
      <c r="K33" s="114">
        <f t="shared" si="3"/>
        <v>33463</v>
      </c>
      <c r="L33" s="114"/>
      <c r="O33" s="255">
        <f t="shared" si="4"/>
        <v>1.8300272565396007E-2</v>
      </c>
    </row>
    <row r="34" spans="1:15">
      <c r="A34" s="125" t="s">
        <v>83</v>
      </c>
      <c r="C34" s="120">
        <v>157368786.33151239</v>
      </c>
      <c r="E34" s="143">
        <v>8.7035</v>
      </c>
      <c r="F34" s="136" t="s">
        <v>78</v>
      </c>
      <c r="G34" s="114">
        <v>13696592</v>
      </c>
      <c r="I34" s="255">
        <f t="shared" si="2"/>
        <v>1.83E-2</v>
      </c>
      <c r="J34" s="136"/>
      <c r="K34" s="114">
        <f t="shared" si="3"/>
        <v>250648</v>
      </c>
      <c r="L34" s="114"/>
      <c r="O34" s="255">
        <f t="shared" si="4"/>
        <v>1.8300026751180146E-2</v>
      </c>
    </row>
    <row r="35" spans="1:15">
      <c r="A35" s="125" t="s">
        <v>84</v>
      </c>
      <c r="C35" s="130">
        <v>1724.7364260414615</v>
      </c>
      <c r="E35" s="54">
        <v>7</v>
      </c>
      <c r="F35" s="126"/>
      <c r="G35" s="114">
        <v>12073</v>
      </c>
      <c r="I35" s="255"/>
      <c r="J35" s="126"/>
      <c r="K35" s="114"/>
      <c r="L35" s="114"/>
      <c r="M35" s="109"/>
      <c r="N35" s="142"/>
      <c r="O35" s="155"/>
    </row>
    <row r="36" spans="1:15">
      <c r="A36" s="125" t="s">
        <v>85</v>
      </c>
      <c r="C36" s="130">
        <v>0</v>
      </c>
      <c r="E36" s="54">
        <v>14</v>
      </c>
      <c r="F36" s="126"/>
      <c r="G36" s="114">
        <v>0</v>
      </c>
      <c r="I36" s="255"/>
      <c r="J36" s="145"/>
      <c r="K36" s="114"/>
      <c r="L36" s="114"/>
      <c r="N36" s="155"/>
      <c r="O36" s="155"/>
    </row>
    <row r="37" spans="1:15">
      <c r="A37" s="125" t="s">
        <v>86</v>
      </c>
      <c r="C37" s="130">
        <v>0</v>
      </c>
      <c r="E37" s="54">
        <v>84</v>
      </c>
      <c r="F37" s="126"/>
      <c r="G37" s="114">
        <v>0</v>
      </c>
      <c r="I37" s="256"/>
      <c r="J37" s="145"/>
      <c r="K37" s="147"/>
      <c r="L37" s="114"/>
      <c r="N37" s="155"/>
      <c r="O37" s="155"/>
    </row>
    <row r="38" spans="1:15">
      <c r="A38" s="149" t="s">
        <v>88</v>
      </c>
      <c r="B38" s="109"/>
      <c r="C38" s="130">
        <v>20530.885811121731</v>
      </c>
      <c r="E38" s="160"/>
      <c r="F38" s="136"/>
      <c r="G38" s="147"/>
      <c r="I38" s="255"/>
      <c r="J38" s="136"/>
      <c r="K38" s="147"/>
      <c r="L38" s="114"/>
      <c r="N38" s="161"/>
      <c r="O38" s="155"/>
    </row>
    <row r="39" spans="1:15" s="124" customFormat="1">
      <c r="A39" s="149" t="s">
        <v>90</v>
      </c>
      <c r="B39" s="109"/>
      <c r="C39" s="120">
        <v>8862.3543562009618</v>
      </c>
      <c r="D39" s="109"/>
      <c r="E39" s="160"/>
      <c r="F39" s="136"/>
      <c r="G39" s="114"/>
      <c r="H39" s="109"/>
      <c r="I39" s="255"/>
      <c r="J39" s="136"/>
      <c r="K39" s="114"/>
      <c r="L39" s="147"/>
      <c r="M39" s="108"/>
      <c r="N39" s="161"/>
      <c r="O39" s="136"/>
    </row>
    <row r="40" spans="1:15" s="124" customFormat="1">
      <c r="A40" s="149" t="s">
        <v>92</v>
      </c>
      <c r="B40" s="108"/>
      <c r="C40" s="130">
        <v>11668.531454920769</v>
      </c>
      <c r="D40" s="109"/>
      <c r="E40" s="160"/>
      <c r="F40" s="136"/>
      <c r="G40" s="114"/>
      <c r="H40" s="109"/>
      <c r="I40" s="255"/>
      <c r="J40" s="136"/>
      <c r="K40" s="114"/>
      <c r="L40" s="147"/>
      <c r="M40" s="108"/>
      <c r="N40" s="162"/>
      <c r="O40" s="136"/>
    </row>
    <row r="41" spans="1:15">
      <c r="A41" s="125" t="s">
        <v>93</v>
      </c>
      <c r="C41" s="58">
        <v>0</v>
      </c>
      <c r="G41" s="154">
        <v>0</v>
      </c>
      <c r="K41" s="154"/>
      <c r="L41" s="147"/>
      <c r="N41" s="162"/>
      <c r="O41" s="155"/>
    </row>
    <row r="42" spans="1:15" ht="16.5" thickBot="1">
      <c r="A42" s="125" t="s">
        <v>94</v>
      </c>
      <c r="C42" s="156">
        <v>286191780.00219226</v>
      </c>
      <c r="E42" s="157"/>
      <c r="G42" s="158">
        <v>27725044</v>
      </c>
      <c r="I42" s="261"/>
      <c r="K42" s="158">
        <f>SUM(K29:K41)</f>
        <v>476509</v>
      </c>
      <c r="L42" s="147"/>
      <c r="N42" s="162"/>
      <c r="O42" s="155"/>
    </row>
    <row r="43" spans="1:15" ht="16.5" thickTop="1">
      <c r="C43" s="57"/>
      <c r="O43" s="155"/>
    </row>
    <row r="44" spans="1:15">
      <c r="A44" s="122" t="s">
        <v>97</v>
      </c>
      <c r="C44" s="57"/>
      <c r="O44" s="155"/>
    </row>
    <row r="45" spans="1:15">
      <c r="A45" s="125" t="s">
        <v>71</v>
      </c>
      <c r="C45" s="130">
        <v>4325.407917034714</v>
      </c>
      <c r="E45" s="54"/>
      <c r="F45" s="126"/>
      <c r="G45" s="114"/>
      <c r="I45" s="255"/>
      <c r="J45" s="126"/>
      <c r="K45" s="114"/>
      <c r="L45" s="114"/>
      <c r="N45" s="129"/>
      <c r="O45" s="155"/>
    </row>
    <row r="46" spans="1:15">
      <c r="A46" s="125" t="s">
        <v>73</v>
      </c>
      <c r="C46" s="130">
        <v>4240</v>
      </c>
      <c r="E46" s="54">
        <v>4</v>
      </c>
      <c r="F46" s="126"/>
      <c r="G46" s="114">
        <v>16960</v>
      </c>
      <c r="I46" s="255"/>
      <c r="J46" s="126"/>
      <c r="K46" s="114"/>
      <c r="L46" s="114"/>
      <c r="N46" s="129"/>
      <c r="O46" s="155"/>
    </row>
    <row r="47" spans="1:15">
      <c r="A47" s="125" t="s">
        <v>75</v>
      </c>
      <c r="C47" s="130">
        <v>0</v>
      </c>
      <c r="E47" s="54">
        <v>8</v>
      </c>
      <c r="F47" s="126"/>
      <c r="G47" s="114">
        <v>0</v>
      </c>
      <c r="I47" s="255"/>
      <c r="J47" s="126"/>
      <c r="K47" s="114"/>
      <c r="L47" s="114"/>
      <c r="N47" s="129"/>
      <c r="O47" s="155"/>
    </row>
    <row r="48" spans="1:15">
      <c r="A48" s="125" t="s">
        <v>98</v>
      </c>
      <c r="C48" s="130">
        <v>285070.90634845069</v>
      </c>
      <c r="E48" s="55">
        <v>4.13</v>
      </c>
      <c r="F48" s="136" t="s">
        <v>78</v>
      </c>
      <c r="G48" s="114">
        <v>11773</v>
      </c>
      <c r="I48" s="255"/>
      <c r="J48" s="136"/>
      <c r="K48" s="114"/>
      <c r="L48" s="114"/>
      <c r="M48" s="129"/>
      <c r="O48" s="155"/>
    </row>
    <row r="49" spans="1:15">
      <c r="A49" s="125" t="s">
        <v>99</v>
      </c>
      <c r="C49" s="130">
        <v>1033061.6356108035</v>
      </c>
      <c r="E49" s="55">
        <v>-1.5487</v>
      </c>
      <c r="F49" s="136" t="s">
        <v>78</v>
      </c>
      <c r="G49" s="114">
        <v>-15999</v>
      </c>
      <c r="I49" s="255"/>
      <c r="J49" s="136"/>
      <c r="K49" s="114"/>
      <c r="L49" s="114"/>
      <c r="M49" s="129"/>
      <c r="O49" s="155"/>
    </row>
    <row r="50" spans="1:15">
      <c r="A50" s="125" t="s">
        <v>77</v>
      </c>
      <c r="C50" s="130">
        <v>682832.18997281697</v>
      </c>
      <c r="E50" s="143">
        <v>8.4003999999999994</v>
      </c>
      <c r="F50" s="136" t="s">
        <v>78</v>
      </c>
      <c r="G50" s="114">
        <v>57361</v>
      </c>
      <c r="I50" s="255">
        <f t="shared" ref="I50:I53" si="5">I14</f>
        <v>1.83E-2</v>
      </c>
      <c r="J50" s="136"/>
      <c r="K50" s="114">
        <f t="shared" ref="K50:K53" si="6">ROUND(G50*I50,0)</f>
        <v>1050</v>
      </c>
      <c r="L50" s="114"/>
      <c r="O50" s="255">
        <f t="shared" ref="O50:O53" si="7">K50/G50</f>
        <v>1.8305120203622672E-2</v>
      </c>
    </row>
    <row r="51" spans="1:15">
      <c r="A51" s="125" t="s">
        <v>80</v>
      </c>
      <c r="C51" s="130">
        <v>470837.33681360341</v>
      </c>
      <c r="E51" s="143">
        <v>10.348100000000001</v>
      </c>
      <c r="F51" s="136" t="s">
        <v>78</v>
      </c>
      <c r="G51" s="114">
        <v>48723</v>
      </c>
      <c r="I51" s="255">
        <f t="shared" si="5"/>
        <v>1.83E-2</v>
      </c>
      <c r="J51" s="136"/>
      <c r="K51" s="114">
        <f t="shared" si="6"/>
        <v>892</v>
      </c>
      <c r="L51" s="114"/>
      <c r="O51" s="255">
        <f t="shared" si="7"/>
        <v>1.8307575477700469E-2</v>
      </c>
    </row>
    <row r="52" spans="1:15">
      <c r="A52" s="125" t="s">
        <v>82</v>
      </c>
      <c r="C52" s="130">
        <v>199279.66606117907</v>
      </c>
      <c r="E52" s="143">
        <v>12.870900000000001</v>
      </c>
      <c r="F52" s="136" t="s">
        <v>78</v>
      </c>
      <c r="G52" s="114">
        <v>25649</v>
      </c>
      <c r="I52" s="255">
        <f t="shared" si="5"/>
        <v>1.83E-2</v>
      </c>
      <c r="J52" s="136"/>
      <c r="K52" s="114">
        <f t="shared" si="6"/>
        <v>469</v>
      </c>
      <c r="L52" s="114"/>
      <c r="N52" s="155"/>
      <c r="O52" s="255">
        <f t="shared" si="7"/>
        <v>1.8285313267573784E-2</v>
      </c>
    </row>
    <row r="53" spans="1:15">
      <c r="A53" s="125" t="s">
        <v>83</v>
      </c>
      <c r="C53" s="130">
        <v>1906444.3027605512</v>
      </c>
      <c r="E53" s="143">
        <v>8.7035</v>
      </c>
      <c r="F53" s="136" t="s">
        <v>78</v>
      </c>
      <c r="G53" s="114">
        <v>165927</v>
      </c>
      <c r="I53" s="255">
        <f t="shared" si="5"/>
        <v>1.83E-2</v>
      </c>
      <c r="J53" s="136"/>
      <c r="K53" s="114">
        <f t="shared" si="6"/>
        <v>3036</v>
      </c>
      <c r="L53" s="114"/>
      <c r="N53" s="155"/>
      <c r="O53" s="255">
        <f t="shared" si="7"/>
        <v>1.8297202986855665E-2</v>
      </c>
    </row>
    <row r="54" spans="1:15">
      <c r="A54" s="125" t="s">
        <v>84</v>
      </c>
      <c r="C54" s="130">
        <v>85.407917034714046</v>
      </c>
      <c r="E54" s="54">
        <v>7</v>
      </c>
      <c r="F54" s="126"/>
      <c r="G54" s="114">
        <v>598</v>
      </c>
      <c r="I54" s="255"/>
      <c r="J54" s="126"/>
      <c r="K54" s="114"/>
      <c r="L54" s="114"/>
      <c r="N54" s="155"/>
      <c r="O54" s="155"/>
    </row>
    <row r="55" spans="1:15" s="124" customFormat="1">
      <c r="A55" s="125" t="s">
        <v>85</v>
      </c>
      <c r="B55" s="108"/>
      <c r="C55" s="130">
        <v>0</v>
      </c>
      <c r="D55" s="109"/>
      <c r="E55" s="54">
        <v>14</v>
      </c>
      <c r="F55" s="126"/>
      <c r="G55" s="114">
        <v>0</v>
      </c>
      <c r="H55" s="109"/>
      <c r="I55" s="255"/>
      <c r="J55" s="126"/>
      <c r="K55" s="114"/>
      <c r="L55" s="147"/>
      <c r="M55" s="108"/>
      <c r="N55" s="155"/>
      <c r="O55" s="136"/>
    </row>
    <row r="56" spans="1:15" s="124" customFormat="1">
      <c r="A56" s="125" t="s">
        <v>86</v>
      </c>
      <c r="B56" s="108"/>
      <c r="C56" s="130">
        <v>0</v>
      </c>
      <c r="D56" s="109"/>
      <c r="E56" s="54">
        <v>84</v>
      </c>
      <c r="F56" s="126"/>
      <c r="G56" s="114">
        <v>0</v>
      </c>
      <c r="H56" s="109"/>
      <c r="I56" s="255"/>
      <c r="J56" s="126"/>
      <c r="K56" s="114"/>
      <c r="L56" s="147"/>
      <c r="M56" s="108"/>
      <c r="N56" s="155"/>
      <c r="O56" s="136"/>
    </row>
    <row r="57" spans="1:15" s="124" customFormat="1">
      <c r="A57" s="149" t="s">
        <v>88</v>
      </c>
      <c r="B57" s="109"/>
      <c r="C57" s="130">
        <v>581.68889166537042</v>
      </c>
      <c r="D57" s="109"/>
      <c r="E57" s="160"/>
      <c r="F57" s="136"/>
      <c r="G57" s="147"/>
      <c r="H57" s="109"/>
      <c r="I57" s="262"/>
      <c r="J57" s="136"/>
      <c r="K57" s="147"/>
      <c r="L57" s="147"/>
      <c r="M57" s="108"/>
      <c r="N57" s="155"/>
      <c r="O57" s="136"/>
    </row>
    <row r="58" spans="1:15">
      <c r="A58" s="149" t="s">
        <v>90</v>
      </c>
      <c r="B58" s="109"/>
      <c r="C58" s="130">
        <v>235.90156091825406</v>
      </c>
      <c r="E58" s="160"/>
      <c r="F58" s="136"/>
      <c r="G58" s="114"/>
      <c r="I58" s="262"/>
      <c r="J58" s="136"/>
      <c r="K58" s="114"/>
      <c r="L58" s="147"/>
      <c r="M58" s="105"/>
    </row>
    <row r="59" spans="1:15">
      <c r="A59" s="149" t="s">
        <v>92</v>
      </c>
      <c r="C59" s="130">
        <v>345.78733074711636</v>
      </c>
      <c r="E59" s="160"/>
      <c r="F59" s="136"/>
      <c r="G59" s="114"/>
      <c r="I59" s="262"/>
      <c r="J59" s="136"/>
      <c r="K59" s="114"/>
      <c r="L59" s="147"/>
      <c r="N59" s="161"/>
      <c r="O59" s="155"/>
    </row>
    <row r="60" spans="1:15">
      <c r="A60" s="125" t="s">
        <v>93</v>
      </c>
      <c r="C60" s="58">
        <v>0</v>
      </c>
      <c r="G60" s="154">
        <v>0</v>
      </c>
      <c r="K60" s="154"/>
      <c r="N60" s="161"/>
    </row>
    <row r="61" spans="1:15" ht="16.5" thickBot="1">
      <c r="A61" s="125" t="s">
        <v>94</v>
      </c>
      <c r="C61" s="156">
        <v>3259975.1844998165</v>
      </c>
      <c r="E61" s="163"/>
      <c r="G61" s="164">
        <v>310992</v>
      </c>
      <c r="I61" s="263"/>
      <c r="K61" s="164">
        <f>SUM(K46:K60)</f>
        <v>5447</v>
      </c>
      <c r="N61" s="162"/>
    </row>
    <row r="62" spans="1:15" ht="16.5" thickTop="1">
      <c r="C62" s="57"/>
      <c r="L62" s="114"/>
      <c r="N62" s="155"/>
      <c r="O62" s="57"/>
    </row>
    <row r="63" spans="1:15">
      <c r="A63" s="122" t="s">
        <v>100</v>
      </c>
      <c r="C63" s="57"/>
      <c r="L63" s="114"/>
      <c r="O63" s="108"/>
    </row>
    <row r="64" spans="1:15">
      <c r="A64" s="125" t="s">
        <v>101</v>
      </c>
      <c r="C64" s="57">
        <v>161759</v>
      </c>
      <c r="E64" s="54">
        <v>50</v>
      </c>
      <c r="F64" s="126"/>
      <c r="G64" s="114">
        <v>8087950</v>
      </c>
      <c r="I64" s="255"/>
      <c r="J64" s="126"/>
      <c r="K64" s="114"/>
      <c r="L64" s="114"/>
      <c r="O64" s="55"/>
    </row>
    <row r="65" spans="1:15">
      <c r="A65" s="125" t="s">
        <v>102</v>
      </c>
      <c r="C65" s="57">
        <v>7236066</v>
      </c>
      <c r="E65" s="54">
        <v>16.84</v>
      </c>
      <c r="F65" s="126"/>
      <c r="G65" s="114">
        <v>121855351</v>
      </c>
      <c r="I65" s="255">
        <f>$N$71</f>
        <v>1.52E-2</v>
      </c>
      <c r="J65" s="126"/>
      <c r="K65" s="114">
        <f t="shared" ref="K65:K66" si="8">ROUND(G65*I65,0)</f>
        <v>1852201</v>
      </c>
      <c r="L65" s="114"/>
      <c r="O65" s="255">
        <f t="shared" ref="O65:O66" si="9">K65/G65</f>
        <v>1.5199997249197534E-2</v>
      </c>
    </row>
    <row r="66" spans="1:15">
      <c r="A66" s="125" t="s">
        <v>103</v>
      </c>
      <c r="C66" s="57">
        <v>8823903</v>
      </c>
      <c r="E66" s="54">
        <v>13.52</v>
      </c>
      <c r="F66" s="126"/>
      <c r="G66" s="114">
        <v>119299169</v>
      </c>
      <c r="I66" s="255">
        <f>$N$71</f>
        <v>1.52E-2</v>
      </c>
      <c r="J66" s="126"/>
      <c r="K66" s="114">
        <f t="shared" si="8"/>
        <v>1813347</v>
      </c>
      <c r="L66" s="114"/>
      <c r="M66" s="54" t="s">
        <v>370</v>
      </c>
      <c r="N66" s="165"/>
      <c r="O66" s="255">
        <f t="shared" si="9"/>
        <v>1.5199996908612163E-2</v>
      </c>
    </row>
    <row r="67" spans="1:15">
      <c r="A67" s="125" t="s">
        <v>104</v>
      </c>
      <c r="C67" s="57">
        <v>612787</v>
      </c>
      <c r="E67" s="54">
        <v>-0.87</v>
      </c>
      <c r="F67" s="126"/>
      <c r="G67" s="114">
        <v>-533125</v>
      </c>
      <c r="I67" s="255"/>
      <c r="J67" s="126"/>
      <c r="K67" s="114"/>
      <c r="L67" s="114"/>
      <c r="M67" s="127" t="s">
        <v>72</v>
      </c>
      <c r="N67" s="128">
        <f>K73+K85</f>
        <v>6652275</v>
      </c>
      <c r="O67" s="57"/>
    </row>
    <row r="68" spans="1:15">
      <c r="A68" s="125" t="s">
        <v>105</v>
      </c>
      <c r="C68" s="57">
        <v>5746434278.8172226</v>
      </c>
      <c r="E68" s="55"/>
      <c r="F68" s="136"/>
      <c r="G68" s="114"/>
      <c r="I68" s="255"/>
      <c r="J68" s="136"/>
      <c r="K68" s="114"/>
      <c r="L68" s="147"/>
      <c r="M68" s="131" t="s">
        <v>74</v>
      </c>
      <c r="N68" s="132">
        <f>(RateSpread!M20+RateSpread!M22)*1000</f>
        <v>6634973.8658312494</v>
      </c>
      <c r="O68" s="57"/>
    </row>
    <row r="69" spans="1:15">
      <c r="A69" s="125" t="s">
        <v>106</v>
      </c>
      <c r="C69" s="57">
        <v>2584270137</v>
      </c>
      <c r="E69" s="166">
        <v>3.5438999999999998</v>
      </c>
      <c r="F69" s="136" t="s">
        <v>78</v>
      </c>
      <c r="G69" s="114">
        <v>91583949</v>
      </c>
      <c r="I69" s="255">
        <f t="shared" ref="I69:I70" si="10">$N$71</f>
        <v>1.52E-2</v>
      </c>
      <c r="J69" s="136"/>
      <c r="K69" s="114">
        <f t="shared" ref="K69:K70" si="11">ROUND(G69*I69,0)</f>
        <v>1392076</v>
      </c>
      <c r="L69" s="147"/>
      <c r="M69" s="133" t="s">
        <v>76</v>
      </c>
      <c r="N69" s="134">
        <f>N68-N67</f>
        <v>-17301.134168750606</v>
      </c>
      <c r="O69" s="255">
        <f t="shared" ref="O69:O70" si="12">K69/G69</f>
        <v>1.5199999729210191E-2</v>
      </c>
    </row>
    <row r="70" spans="1:15">
      <c r="A70" s="125" t="s">
        <v>107</v>
      </c>
      <c r="C70" s="57">
        <v>3162164141.8172226</v>
      </c>
      <c r="E70" s="166">
        <v>3.2658999999999998</v>
      </c>
      <c r="F70" s="136" t="s">
        <v>78</v>
      </c>
      <c r="G70" s="114">
        <v>103273119</v>
      </c>
      <c r="I70" s="255">
        <f t="shared" si="10"/>
        <v>1.52E-2</v>
      </c>
      <c r="J70" s="136"/>
      <c r="K70" s="114">
        <f t="shared" si="11"/>
        <v>1569751</v>
      </c>
      <c r="L70" s="147"/>
      <c r="M70" s="137"/>
      <c r="N70" s="167"/>
      <c r="O70" s="255">
        <f t="shared" si="12"/>
        <v>1.5199996041564311E-2</v>
      </c>
    </row>
    <row r="71" spans="1:15">
      <c r="A71" s="125" t="s">
        <v>108</v>
      </c>
      <c r="C71" s="57">
        <v>0</v>
      </c>
      <c r="E71" s="54">
        <v>600</v>
      </c>
      <c r="F71" s="126"/>
      <c r="G71" s="114">
        <v>0</v>
      </c>
      <c r="I71" s="255"/>
      <c r="J71" s="126"/>
      <c r="K71" s="114"/>
      <c r="L71" s="147"/>
      <c r="M71" s="139" t="s">
        <v>81</v>
      </c>
      <c r="N71" s="168">
        <f>ROUND(N68/SUM(G65:G66,G69:G70,G77:G78,G81:G82),4)</f>
        <v>1.52E-2</v>
      </c>
      <c r="O71" s="155"/>
    </row>
    <row r="72" spans="1:15">
      <c r="A72" s="125" t="s">
        <v>93</v>
      </c>
      <c r="C72" s="58">
        <v>0</v>
      </c>
      <c r="G72" s="154">
        <v>0</v>
      </c>
      <c r="K72" s="154"/>
      <c r="M72" s="137"/>
      <c r="N72" s="138"/>
    </row>
    <row r="73" spans="1:15" ht="16.5" thickBot="1">
      <c r="A73" s="125" t="s">
        <v>94</v>
      </c>
      <c r="C73" s="169">
        <v>5746434278.8172226</v>
      </c>
      <c r="E73" s="163"/>
      <c r="G73" s="164">
        <v>443566413</v>
      </c>
      <c r="I73" s="263"/>
      <c r="K73" s="164">
        <f>SUM(K64:K72)</f>
        <v>6627375</v>
      </c>
      <c r="M73" s="151"/>
      <c r="N73" s="170"/>
    </row>
    <row r="74" spans="1:15" ht="16.5" thickTop="1">
      <c r="C74" s="57"/>
      <c r="L74" s="114"/>
    </row>
    <row r="75" spans="1:15">
      <c r="A75" s="122" t="s">
        <v>111</v>
      </c>
      <c r="C75" s="57"/>
      <c r="D75" s="145"/>
      <c r="H75" s="145"/>
      <c r="L75" s="114"/>
    </row>
    <row r="76" spans="1:15">
      <c r="A76" s="125" t="s">
        <v>101</v>
      </c>
      <c r="C76" s="57">
        <v>384</v>
      </c>
      <c r="E76" s="54">
        <v>50</v>
      </c>
      <c r="F76" s="126"/>
      <c r="G76" s="114">
        <v>19200</v>
      </c>
      <c r="I76" s="255"/>
      <c r="J76" s="126"/>
      <c r="K76" s="114"/>
      <c r="L76" s="114"/>
    </row>
    <row r="77" spans="1:15">
      <c r="A77" s="125" t="s">
        <v>112</v>
      </c>
      <c r="C77" s="57">
        <v>28701</v>
      </c>
      <c r="E77" s="54">
        <v>16.84</v>
      </c>
      <c r="F77" s="126"/>
      <c r="G77" s="114">
        <v>483325</v>
      </c>
      <c r="I77" s="255">
        <f t="shared" ref="I77:I78" si="13">$N$71</f>
        <v>1.52E-2</v>
      </c>
      <c r="J77" s="126"/>
      <c r="K77" s="114">
        <f t="shared" ref="K77:K78" si="14">ROUND(G77*I77,0)</f>
        <v>7347</v>
      </c>
      <c r="L77" s="114"/>
      <c r="O77" s="255">
        <f t="shared" ref="O77:O78" si="15">K77/G77</f>
        <v>1.5200951740547251E-2</v>
      </c>
    </row>
    <row r="78" spans="1:15">
      <c r="A78" s="125" t="s">
        <v>113</v>
      </c>
      <c r="C78" s="57">
        <v>32100</v>
      </c>
      <c r="E78" s="54">
        <v>13.52</v>
      </c>
      <c r="F78" s="126"/>
      <c r="G78" s="114">
        <v>433992</v>
      </c>
      <c r="I78" s="255">
        <f t="shared" si="13"/>
        <v>1.52E-2</v>
      </c>
      <c r="J78" s="126"/>
      <c r="K78" s="114">
        <f t="shared" si="14"/>
        <v>6597</v>
      </c>
      <c r="L78" s="114"/>
      <c r="O78" s="255">
        <f t="shared" si="15"/>
        <v>1.5200741027484378E-2</v>
      </c>
    </row>
    <row r="79" spans="1:15">
      <c r="A79" s="125" t="s">
        <v>104</v>
      </c>
      <c r="C79" s="57">
        <v>0</v>
      </c>
      <c r="E79" s="54">
        <v>-0.87</v>
      </c>
      <c r="F79" s="126"/>
      <c r="G79" s="114">
        <v>0</v>
      </c>
      <c r="I79" s="255"/>
      <c r="J79" s="126"/>
      <c r="K79" s="114"/>
      <c r="L79" s="114"/>
      <c r="N79" s="165"/>
    </row>
    <row r="80" spans="1:15">
      <c r="A80" s="125" t="s">
        <v>105</v>
      </c>
      <c r="C80" s="57">
        <v>21133170</v>
      </c>
      <c r="E80" s="166"/>
      <c r="F80" s="136"/>
      <c r="G80" s="114"/>
      <c r="I80" s="256"/>
      <c r="J80" s="136"/>
      <c r="K80" s="114"/>
      <c r="L80" s="147"/>
      <c r="N80" s="165"/>
    </row>
    <row r="81" spans="1:15">
      <c r="A81" s="125" t="s">
        <v>109</v>
      </c>
      <c r="C81" s="57">
        <v>11014981</v>
      </c>
      <c r="E81" s="166">
        <v>3.5438999999999998</v>
      </c>
      <c r="F81" s="136" t="s">
        <v>78</v>
      </c>
      <c r="G81" s="114">
        <v>390360</v>
      </c>
      <c r="I81" s="255">
        <f t="shared" ref="I81:I82" si="16">$N$71</f>
        <v>1.52E-2</v>
      </c>
      <c r="J81" s="136"/>
      <c r="K81" s="114">
        <f t="shared" ref="K81:K82" si="17">ROUND(G81*I81,0)</f>
        <v>5933</v>
      </c>
      <c r="L81" s="147"/>
      <c r="O81" s="255">
        <f t="shared" ref="O81:O82" si="18">K81/G81</f>
        <v>1.5198790859719234E-2</v>
      </c>
    </row>
    <row r="82" spans="1:15">
      <c r="A82" s="125" t="s">
        <v>110</v>
      </c>
      <c r="C82" s="57">
        <v>10118189</v>
      </c>
      <c r="E82" s="166">
        <v>3.2658999999999998</v>
      </c>
      <c r="F82" s="136" t="s">
        <v>78</v>
      </c>
      <c r="G82" s="114">
        <v>330450</v>
      </c>
      <c r="I82" s="255">
        <f t="shared" si="16"/>
        <v>1.52E-2</v>
      </c>
      <c r="J82" s="136"/>
      <c r="K82" s="114">
        <f t="shared" si="17"/>
        <v>5023</v>
      </c>
      <c r="L82" s="147"/>
      <c r="O82" s="255">
        <f t="shared" si="18"/>
        <v>1.5200484188228173E-2</v>
      </c>
    </row>
    <row r="83" spans="1:15">
      <c r="A83" s="125" t="s">
        <v>108</v>
      </c>
      <c r="C83" s="57">
        <v>0</v>
      </c>
      <c r="D83" s="145"/>
      <c r="E83" s="54">
        <v>600</v>
      </c>
      <c r="F83" s="126"/>
      <c r="G83" s="114">
        <v>0</v>
      </c>
      <c r="H83" s="145"/>
      <c r="I83" s="255"/>
      <c r="J83" s="126"/>
      <c r="K83" s="114"/>
      <c r="L83" s="147"/>
      <c r="N83" s="161"/>
      <c r="O83" s="155"/>
    </row>
    <row r="84" spans="1:15">
      <c r="A84" s="125" t="s">
        <v>93</v>
      </c>
      <c r="C84" s="58">
        <v>0</v>
      </c>
      <c r="G84" s="154">
        <v>0</v>
      </c>
      <c r="K84" s="154"/>
      <c r="N84" s="171"/>
    </row>
    <row r="85" spans="1:15" ht="16.5" thickBot="1">
      <c r="A85" s="125" t="s">
        <v>94</v>
      </c>
      <c r="C85" s="169">
        <v>21133170</v>
      </c>
      <c r="E85" s="163"/>
      <c r="G85" s="164">
        <v>1657327</v>
      </c>
      <c r="I85" s="263"/>
      <c r="K85" s="164">
        <f>SUM(K76:K84)</f>
        <v>24900</v>
      </c>
      <c r="N85" s="155"/>
    </row>
    <row r="86" spans="1:15" ht="16.5" thickTop="1">
      <c r="C86" s="57"/>
      <c r="L86" s="114"/>
    </row>
    <row r="87" spans="1:15">
      <c r="A87" s="122" t="s">
        <v>114</v>
      </c>
      <c r="C87" s="57"/>
      <c r="E87" s="166"/>
      <c r="F87" s="172"/>
      <c r="I87" s="256"/>
      <c r="J87" s="172"/>
      <c r="L87" s="114"/>
      <c r="O87" s="57"/>
    </row>
    <row r="88" spans="1:15">
      <c r="A88" s="125" t="s">
        <v>101</v>
      </c>
      <c r="C88" s="57">
        <v>28731</v>
      </c>
      <c r="E88" s="54">
        <v>50</v>
      </c>
      <c r="F88" s="126"/>
      <c r="G88" s="114">
        <v>1436550</v>
      </c>
      <c r="I88" s="255"/>
      <c r="J88" s="126"/>
      <c r="K88" s="114"/>
      <c r="L88" s="114"/>
      <c r="M88" s="127" t="s">
        <v>72</v>
      </c>
      <c r="N88" s="128">
        <f>K97</f>
        <v>445474</v>
      </c>
      <c r="O88" s="57"/>
    </row>
    <row r="89" spans="1:15">
      <c r="A89" s="125" t="s">
        <v>115</v>
      </c>
      <c r="C89" s="57">
        <v>861704</v>
      </c>
      <c r="D89" s="145"/>
      <c r="E89" s="54">
        <v>5.96</v>
      </c>
      <c r="F89" s="126"/>
      <c r="G89" s="114">
        <v>5135756</v>
      </c>
      <c r="H89" s="145"/>
      <c r="I89" s="255"/>
      <c r="J89" s="126"/>
      <c r="K89" s="114"/>
      <c r="L89" s="114"/>
      <c r="M89" s="131" t="s">
        <v>74</v>
      </c>
      <c r="N89" s="132">
        <f>RateSpread!M21*1000</f>
        <v>444976.3534924488</v>
      </c>
      <c r="O89" s="57"/>
    </row>
    <row r="90" spans="1:15">
      <c r="A90" s="125" t="s">
        <v>116</v>
      </c>
      <c r="C90" s="57">
        <v>1039237</v>
      </c>
      <c r="D90" s="145"/>
      <c r="E90" s="54">
        <v>5</v>
      </c>
      <c r="F90" s="126"/>
      <c r="G90" s="114">
        <v>5196185</v>
      </c>
      <c r="H90" s="145"/>
      <c r="I90" s="255"/>
      <c r="J90" s="126"/>
      <c r="K90" s="114"/>
      <c r="L90" s="114"/>
      <c r="M90" s="133" t="s">
        <v>76</v>
      </c>
      <c r="N90" s="134">
        <f>N89-N88</f>
        <v>-497.6465075511951</v>
      </c>
      <c r="O90" s="57"/>
    </row>
    <row r="91" spans="1:15">
      <c r="A91" s="125" t="s">
        <v>104</v>
      </c>
      <c r="C91" s="57">
        <v>32411</v>
      </c>
      <c r="D91" s="145"/>
      <c r="E91" s="54">
        <v>-0.56000000000000005</v>
      </c>
      <c r="F91" s="126"/>
      <c r="G91" s="114">
        <v>-18150</v>
      </c>
      <c r="H91" s="145"/>
      <c r="I91" s="255"/>
      <c r="J91" s="126"/>
      <c r="K91" s="114"/>
      <c r="L91" s="114"/>
      <c r="M91" s="137"/>
      <c r="N91" s="167"/>
      <c r="O91" s="57"/>
    </row>
    <row r="92" spans="1:15">
      <c r="A92" s="125" t="s">
        <v>98</v>
      </c>
      <c r="C92" s="57">
        <v>57731948</v>
      </c>
      <c r="D92" s="145"/>
      <c r="E92" s="55">
        <v>10.905099999999999</v>
      </c>
      <c r="F92" s="136" t="s">
        <v>78</v>
      </c>
      <c r="G92" s="114">
        <v>6295727</v>
      </c>
      <c r="H92" s="145"/>
      <c r="I92" s="255">
        <f>$N$92</f>
        <v>2.46E-2</v>
      </c>
      <c r="J92" s="136"/>
      <c r="K92" s="114">
        <f t="shared" ref="K92:K95" si="19">ROUND(G92*I92,0)</f>
        <v>154875</v>
      </c>
      <c r="L92" s="147"/>
      <c r="M92" s="139" t="s">
        <v>81</v>
      </c>
      <c r="N92" s="168">
        <f>ROUND(N89/SUM(G92:G95),4)</f>
        <v>2.46E-2</v>
      </c>
      <c r="O92" s="255">
        <f t="shared" ref="O92:O95" si="20">K92/G92</f>
        <v>2.4600018393427795E-2</v>
      </c>
    </row>
    <row r="93" spans="1:15">
      <c r="A93" s="125" t="s">
        <v>99</v>
      </c>
      <c r="C93" s="57">
        <v>58399436</v>
      </c>
      <c r="D93" s="145"/>
      <c r="E93" s="55">
        <v>3.2831999999999999</v>
      </c>
      <c r="F93" s="136" t="s">
        <v>78</v>
      </c>
      <c r="G93" s="114">
        <v>1917370</v>
      </c>
      <c r="H93" s="145"/>
      <c r="I93" s="255">
        <f t="shared" ref="I93:I95" si="21">$N$92</f>
        <v>2.46E-2</v>
      </c>
      <c r="J93" s="136"/>
      <c r="K93" s="114">
        <f t="shared" si="19"/>
        <v>47167</v>
      </c>
      <c r="L93" s="147"/>
      <c r="M93" s="151"/>
      <c r="N93" s="170"/>
      <c r="O93" s="255">
        <f t="shared" si="20"/>
        <v>2.4599842492580983E-2</v>
      </c>
    </row>
    <row r="94" spans="1:15">
      <c r="A94" s="125" t="s">
        <v>117</v>
      </c>
      <c r="C94" s="57">
        <v>85611702</v>
      </c>
      <c r="D94" s="145"/>
      <c r="E94" s="55">
        <v>9.1155000000000008</v>
      </c>
      <c r="F94" s="136" t="s">
        <v>78</v>
      </c>
      <c r="G94" s="114">
        <v>7803935</v>
      </c>
      <c r="H94" s="145"/>
      <c r="I94" s="255">
        <f t="shared" si="21"/>
        <v>2.46E-2</v>
      </c>
      <c r="J94" s="136"/>
      <c r="K94" s="114">
        <f t="shared" si="19"/>
        <v>191977</v>
      </c>
      <c r="L94" s="147"/>
      <c r="M94" s="137"/>
      <c r="N94" s="167"/>
      <c r="O94" s="255">
        <f t="shared" si="20"/>
        <v>2.4600025499956112E-2</v>
      </c>
    </row>
    <row r="95" spans="1:15">
      <c r="A95" s="125" t="s">
        <v>118</v>
      </c>
      <c r="C95" s="57">
        <v>75991996</v>
      </c>
      <c r="D95" s="145"/>
      <c r="E95" s="55">
        <v>2.7524999999999999</v>
      </c>
      <c r="F95" s="136" t="s">
        <v>78</v>
      </c>
      <c r="G95" s="114">
        <v>2091680</v>
      </c>
      <c r="H95" s="145"/>
      <c r="I95" s="255">
        <f t="shared" si="21"/>
        <v>2.46E-2</v>
      </c>
      <c r="J95" s="136"/>
      <c r="K95" s="114">
        <f t="shared" si="19"/>
        <v>51455</v>
      </c>
      <c r="L95" s="147"/>
      <c r="M95" s="137"/>
      <c r="N95" s="138"/>
      <c r="O95" s="255">
        <f t="shared" si="20"/>
        <v>2.4599843188250592E-2</v>
      </c>
    </row>
    <row r="96" spans="1:15">
      <c r="A96" s="125" t="s">
        <v>93</v>
      </c>
      <c r="C96" s="58">
        <v>0</v>
      </c>
      <c r="G96" s="154">
        <v>0</v>
      </c>
      <c r="K96" s="154"/>
      <c r="M96" s="139"/>
      <c r="N96" s="140"/>
      <c r="O96" s="155"/>
    </row>
    <row r="97" spans="1:14" ht="16.5" thickBot="1">
      <c r="A97" s="125" t="s">
        <v>94</v>
      </c>
      <c r="C97" s="169">
        <v>277735082</v>
      </c>
      <c r="E97" s="163"/>
      <c r="G97" s="164">
        <v>29859053</v>
      </c>
      <c r="I97" s="263"/>
      <c r="K97" s="164">
        <f>SUM(K88:K96)</f>
        <v>445474</v>
      </c>
      <c r="M97" s="151"/>
      <c r="N97" s="173"/>
    </row>
    <row r="98" spans="1:14" ht="16.5" thickTop="1">
      <c r="C98" s="57"/>
      <c r="L98" s="114"/>
    </row>
    <row r="99" spans="1:14">
      <c r="A99" s="122" t="s">
        <v>119</v>
      </c>
      <c r="C99" s="57"/>
      <c r="L99" s="114"/>
      <c r="N99" s="108"/>
    </row>
    <row r="100" spans="1:14">
      <c r="A100" s="175" t="s">
        <v>120</v>
      </c>
      <c r="C100" s="57"/>
      <c r="G100" s="114"/>
      <c r="K100" s="114"/>
      <c r="L100" s="114"/>
      <c r="M100" s="54"/>
      <c r="N100" s="54"/>
    </row>
    <row r="101" spans="1:14">
      <c r="A101" s="125" t="s">
        <v>121</v>
      </c>
      <c r="B101" s="108">
        <v>29</v>
      </c>
      <c r="C101" s="57">
        <v>23</v>
      </c>
      <c r="E101" s="54">
        <v>5.68</v>
      </c>
      <c r="F101" s="126"/>
      <c r="G101" s="114">
        <v>131</v>
      </c>
      <c r="I101" s="255"/>
      <c r="J101" s="126"/>
      <c r="K101" s="146"/>
      <c r="L101" s="114"/>
      <c r="M101" s="54"/>
      <c r="N101" s="54"/>
    </row>
    <row r="102" spans="1:14">
      <c r="A102" s="125" t="s">
        <v>122</v>
      </c>
      <c r="B102" s="108">
        <v>1</v>
      </c>
      <c r="C102" s="57">
        <v>44936</v>
      </c>
      <c r="E102" s="54">
        <v>16.38</v>
      </c>
      <c r="F102" s="126"/>
      <c r="G102" s="114">
        <v>736052</v>
      </c>
      <c r="I102" s="255"/>
      <c r="J102" s="126"/>
      <c r="K102" s="114"/>
      <c r="L102" s="114"/>
      <c r="M102" s="54"/>
      <c r="N102" s="54"/>
    </row>
    <row r="103" spans="1:14">
      <c r="A103" s="125" t="s">
        <v>123</v>
      </c>
      <c r="B103" s="108">
        <v>28</v>
      </c>
      <c r="C103" s="57">
        <v>265</v>
      </c>
      <c r="E103" s="54">
        <v>8.0500000000000007</v>
      </c>
      <c r="F103" s="126"/>
      <c r="G103" s="114">
        <v>2133</v>
      </c>
      <c r="I103" s="255"/>
      <c r="J103" s="126"/>
      <c r="K103" s="114"/>
      <c r="L103" s="114"/>
      <c r="N103" s="108"/>
    </row>
    <row r="104" spans="1:14">
      <c r="A104" s="125" t="s">
        <v>124</v>
      </c>
      <c r="B104" s="108">
        <v>2</v>
      </c>
      <c r="C104" s="57">
        <v>11546</v>
      </c>
      <c r="E104" s="54">
        <v>26.78</v>
      </c>
      <c r="F104" s="126"/>
      <c r="G104" s="114">
        <v>309202</v>
      </c>
      <c r="I104" s="255"/>
      <c r="J104" s="126"/>
      <c r="K104" s="114"/>
      <c r="L104" s="114"/>
      <c r="M104" s="54"/>
      <c r="N104" s="54"/>
    </row>
    <row r="105" spans="1:14">
      <c r="A105" s="175" t="s">
        <v>125</v>
      </c>
      <c r="C105" s="57"/>
      <c r="G105" s="114"/>
      <c r="K105" s="114"/>
      <c r="L105" s="114"/>
      <c r="M105" s="54"/>
      <c r="N105" s="54"/>
    </row>
    <row r="106" spans="1:14">
      <c r="A106" s="125" t="s">
        <v>126</v>
      </c>
      <c r="B106" s="108">
        <v>3</v>
      </c>
      <c r="C106" s="57">
        <v>3488</v>
      </c>
      <c r="E106" s="54">
        <v>14.6</v>
      </c>
      <c r="F106" s="126"/>
      <c r="G106" s="114">
        <v>50925</v>
      </c>
      <c r="I106" s="255"/>
      <c r="J106" s="126"/>
      <c r="K106" s="114"/>
      <c r="L106" s="114"/>
      <c r="M106" s="54"/>
      <c r="N106" s="54"/>
    </row>
    <row r="107" spans="1:14">
      <c r="A107" s="125" t="s">
        <v>127</v>
      </c>
      <c r="B107" s="108">
        <v>4</v>
      </c>
      <c r="C107" s="57">
        <v>1747</v>
      </c>
      <c r="E107" s="54">
        <v>12.23</v>
      </c>
      <c r="F107" s="126"/>
      <c r="G107" s="114">
        <v>21366</v>
      </c>
      <c r="I107" s="255"/>
      <c r="J107" s="126"/>
      <c r="K107" s="114"/>
      <c r="L107" s="114"/>
      <c r="M107" s="54"/>
      <c r="N107" s="54"/>
    </row>
    <row r="108" spans="1:14">
      <c r="A108" s="125" t="s">
        <v>128</v>
      </c>
      <c r="B108" s="108">
        <v>5</v>
      </c>
      <c r="C108" s="57">
        <v>23053</v>
      </c>
      <c r="E108" s="54">
        <v>15.47</v>
      </c>
      <c r="F108" s="126"/>
      <c r="G108" s="114">
        <v>356630</v>
      </c>
      <c r="I108" s="255"/>
      <c r="J108" s="126"/>
      <c r="K108" s="114"/>
      <c r="L108" s="114"/>
      <c r="M108" s="54"/>
      <c r="N108" s="54"/>
    </row>
    <row r="109" spans="1:14">
      <c r="A109" s="125" t="s">
        <v>129</v>
      </c>
      <c r="B109" s="108">
        <v>6</v>
      </c>
      <c r="C109" s="57">
        <v>22349</v>
      </c>
      <c r="E109" s="54">
        <v>13.31</v>
      </c>
      <c r="F109" s="126"/>
      <c r="G109" s="114">
        <v>297465</v>
      </c>
      <c r="I109" s="255"/>
      <c r="J109" s="126"/>
      <c r="K109" s="114"/>
      <c r="L109" s="114"/>
      <c r="M109" s="54"/>
      <c r="N109" s="54"/>
    </row>
    <row r="110" spans="1:14">
      <c r="A110" s="125" t="s">
        <v>130</v>
      </c>
      <c r="B110" s="108">
        <v>7</v>
      </c>
      <c r="C110" s="57">
        <v>2610</v>
      </c>
      <c r="E110" s="54">
        <v>19.46</v>
      </c>
      <c r="F110" s="126"/>
      <c r="G110" s="114">
        <v>50791</v>
      </c>
      <c r="I110" s="255"/>
      <c r="J110" s="126"/>
      <c r="K110" s="114"/>
      <c r="L110" s="114"/>
      <c r="M110" s="54"/>
      <c r="N110" s="54"/>
    </row>
    <row r="111" spans="1:14">
      <c r="A111" s="125" t="s">
        <v>131</v>
      </c>
      <c r="B111" s="108">
        <v>8</v>
      </c>
      <c r="C111" s="57">
        <v>2641</v>
      </c>
      <c r="E111" s="54">
        <v>17.13</v>
      </c>
      <c r="F111" s="126"/>
      <c r="G111" s="114">
        <v>45240</v>
      </c>
      <c r="I111" s="255"/>
      <c r="J111" s="126"/>
      <c r="K111" s="114"/>
      <c r="L111" s="114"/>
      <c r="M111" s="54"/>
      <c r="N111" s="54"/>
    </row>
    <row r="112" spans="1:14">
      <c r="A112" s="125" t="s">
        <v>132</v>
      </c>
      <c r="B112" s="108">
        <v>9</v>
      </c>
      <c r="C112" s="57">
        <v>118</v>
      </c>
      <c r="E112" s="54">
        <v>21.07</v>
      </c>
      <c r="F112" s="126"/>
      <c r="G112" s="114">
        <v>2486</v>
      </c>
      <c r="I112" s="255"/>
      <c r="J112" s="126"/>
      <c r="K112" s="114"/>
      <c r="L112" s="114"/>
      <c r="M112" s="54"/>
      <c r="N112" s="54"/>
    </row>
    <row r="113" spans="1:14">
      <c r="A113" s="125" t="s">
        <v>133</v>
      </c>
      <c r="B113" s="108">
        <v>10</v>
      </c>
      <c r="C113" s="57">
        <v>3232</v>
      </c>
      <c r="E113" s="54">
        <v>23.51</v>
      </c>
      <c r="F113" s="126"/>
      <c r="G113" s="114">
        <v>75984</v>
      </c>
      <c r="I113" s="255"/>
      <c r="J113" s="126"/>
      <c r="K113" s="114"/>
      <c r="L113" s="114"/>
      <c r="M113" s="54"/>
      <c r="N113" s="54"/>
    </row>
    <row r="114" spans="1:14">
      <c r="A114" s="125" t="s">
        <v>134</v>
      </c>
      <c r="B114" s="108">
        <v>11</v>
      </c>
      <c r="C114" s="57">
        <v>3175</v>
      </c>
      <c r="E114" s="54">
        <v>21.23</v>
      </c>
      <c r="F114" s="126"/>
      <c r="G114" s="114">
        <v>67405</v>
      </c>
      <c r="I114" s="255"/>
      <c r="J114" s="126"/>
      <c r="K114" s="114"/>
      <c r="L114" s="114"/>
      <c r="M114" s="54"/>
      <c r="N114" s="54"/>
    </row>
    <row r="115" spans="1:14">
      <c r="A115" s="125" t="s">
        <v>135</v>
      </c>
      <c r="B115" s="108">
        <v>12</v>
      </c>
      <c r="C115" s="57">
        <v>1165</v>
      </c>
      <c r="E115" s="54">
        <v>28.3</v>
      </c>
      <c r="F115" s="126"/>
      <c r="G115" s="114">
        <v>32970</v>
      </c>
      <c r="I115" s="255"/>
      <c r="J115" s="126"/>
      <c r="K115" s="114"/>
      <c r="L115" s="114"/>
      <c r="N115" s="108"/>
    </row>
    <row r="116" spans="1:14">
      <c r="A116" s="125" t="s">
        <v>136</v>
      </c>
      <c r="B116" s="108">
        <v>13</v>
      </c>
      <c r="C116" s="57">
        <v>1834</v>
      </c>
      <c r="E116" s="54">
        <v>25.99</v>
      </c>
      <c r="F116" s="126"/>
      <c r="G116" s="114">
        <v>47666</v>
      </c>
      <c r="I116" s="255"/>
      <c r="J116" s="126"/>
      <c r="K116" s="114"/>
      <c r="L116" s="114"/>
      <c r="M116" s="54"/>
      <c r="N116" s="54"/>
    </row>
    <row r="117" spans="1:14">
      <c r="A117" s="175" t="s">
        <v>137</v>
      </c>
      <c r="C117" s="57"/>
      <c r="G117" s="114"/>
      <c r="K117" s="114"/>
      <c r="L117" s="114"/>
      <c r="M117" s="54"/>
      <c r="N117" s="54"/>
    </row>
    <row r="118" spans="1:14">
      <c r="A118" s="125" t="s">
        <v>130</v>
      </c>
      <c r="B118" s="108">
        <v>14</v>
      </c>
      <c r="C118" s="57">
        <v>4676</v>
      </c>
      <c r="E118" s="54">
        <v>19.46</v>
      </c>
      <c r="F118" s="126"/>
      <c r="G118" s="114">
        <v>90995</v>
      </c>
      <c r="I118" s="255"/>
      <c r="J118" s="126"/>
      <c r="K118" s="114"/>
      <c r="L118" s="114"/>
      <c r="M118" s="54"/>
      <c r="N118" s="54"/>
    </row>
    <row r="119" spans="1:14">
      <c r="A119" s="125" t="s">
        <v>131</v>
      </c>
      <c r="B119" s="108">
        <v>15</v>
      </c>
      <c r="C119" s="57">
        <v>5069</v>
      </c>
      <c r="E119" s="54">
        <v>17.13</v>
      </c>
      <c r="F119" s="126"/>
      <c r="G119" s="114">
        <v>86832</v>
      </c>
      <c r="I119" s="255"/>
      <c r="J119" s="126"/>
      <c r="K119" s="114"/>
      <c r="L119" s="114"/>
      <c r="M119" s="54"/>
      <c r="N119" s="54"/>
    </row>
    <row r="120" spans="1:14">
      <c r="A120" s="125" t="s">
        <v>133</v>
      </c>
      <c r="B120" s="108">
        <v>16</v>
      </c>
      <c r="C120" s="57">
        <v>1127</v>
      </c>
      <c r="E120" s="54">
        <v>23.51</v>
      </c>
      <c r="F120" s="126"/>
      <c r="G120" s="114">
        <v>26496</v>
      </c>
      <c r="I120" s="255"/>
      <c r="J120" s="126"/>
      <c r="K120" s="114"/>
      <c r="M120" s="54"/>
      <c r="N120" s="54"/>
    </row>
    <row r="121" spans="1:14">
      <c r="A121" s="125" t="s">
        <v>134</v>
      </c>
      <c r="B121" s="108">
        <v>17</v>
      </c>
      <c r="C121" s="57">
        <v>1609</v>
      </c>
      <c r="E121" s="54">
        <v>21.23</v>
      </c>
      <c r="F121" s="126"/>
      <c r="G121" s="114">
        <v>34159</v>
      </c>
      <c r="I121" s="255"/>
      <c r="J121" s="126"/>
      <c r="K121" s="114"/>
      <c r="L121" s="114"/>
      <c r="M121" s="54"/>
      <c r="N121" s="54"/>
    </row>
    <row r="122" spans="1:14">
      <c r="A122" s="125" t="s">
        <v>135</v>
      </c>
      <c r="B122" s="108">
        <v>18</v>
      </c>
      <c r="C122" s="57">
        <v>9901</v>
      </c>
      <c r="E122" s="54">
        <v>28.3</v>
      </c>
      <c r="F122" s="126"/>
      <c r="G122" s="114">
        <v>280198</v>
      </c>
      <c r="I122" s="255"/>
      <c r="J122" s="126"/>
      <c r="K122" s="114"/>
      <c r="L122" s="114"/>
      <c r="N122" s="108"/>
    </row>
    <row r="123" spans="1:14">
      <c r="A123" s="125" t="s">
        <v>136</v>
      </c>
      <c r="B123" s="108">
        <v>19</v>
      </c>
      <c r="C123" s="57">
        <v>11569</v>
      </c>
      <c r="E123" s="54">
        <v>25.99</v>
      </c>
      <c r="F123" s="126"/>
      <c r="G123" s="114">
        <v>300678</v>
      </c>
      <c r="I123" s="255"/>
      <c r="J123" s="126"/>
      <c r="K123" s="114"/>
      <c r="L123" s="114"/>
      <c r="M123" s="54"/>
      <c r="N123" s="54"/>
    </row>
    <row r="124" spans="1:14">
      <c r="A124" s="175" t="s">
        <v>138</v>
      </c>
      <c r="C124" s="57"/>
      <c r="L124" s="114"/>
      <c r="M124" s="54"/>
      <c r="N124" s="54"/>
    </row>
    <row r="125" spans="1:14">
      <c r="A125" s="125" t="s">
        <v>139</v>
      </c>
      <c r="B125" s="108">
        <v>20</v>
      </c>
      <c r="C125" s="57">
        <v>0</v>
      </c>
      <c r="E125" s="54">
        <v>29.4</v>
      </c>
      <c r="F125" s="126"/>
      <c r="G125" s="114">
        <v>0</v>
      </c>
      <c r="I125" s="255"/>
      <c r="J125" s="126"/>
      <c r="K125" s="114"/>
      <c r="L125" s="114"/>
      <c r="M125" s="54"/>
      <c r="N125" s="54"/>
    </row>
    <row r="126" spans="1:14">
      <c r="A126" s="125" t="s">
        <v>140</v>
      </c>
      <c r="B126" s="108">
        <v>21</v>
      </c>
      <c r="C126" s="57">
        <v>242</v>
      </c>
      <c r="E126" s="54">
        <v>21.79</v>
      </c>
      <c r="F126" s="126"/>
      <c r="G126" s="114">
        <v>5273</v>
      </c>
      <c r="I126" s="255"/>
      <c r="J126" s="126"/>
      <c r="K126" s="114"/>
      <c r="L126" s="114"/>
      <c r="M126" s="54"/>
      <c r="N126" s="54"/>
    </row>
    <row r="127" spans="1:14">
      <c r="A127" s="125" t="s">
        <v>141</v>
      </c>
      <c r="B127" s="108">
        <v>22</v>
      </c>
      <c r="C127" s="57">
        <v>104</v>
      </c>
      <c r="E127" s="54">
        <v>34.340000000000003</v>
      </c>
      <c r="F127" s="126"/>
      <c r="G127" s="114">
        <v>3571</v>
      </c>
      <c r="I127" s="255"/>
      <c r="J127" s="126"/>
      <c r="K127" s="114"/>
      <c r="L127" s="114"/>
      <c r="M127" s="54"/>
      <c r="N127" s="54"/>
    </row>
    <row r="128" spans="1:14">
      <c r="A128" s="125" t="s">
        <v>142</v>
      </c>
      <c r="B128" s="108">
        <v>23</v>
      </c>
      <c r="C128" s="57">
        <v>92</v>
      </c>
      <c r="E128" s="54">
        <v>27.43</v>
      </c>
      <c r="F128" s="126"/>
      <c r="G128" s="114">
        <v>2524</v>
      </c>
      <c r="I128" s="255"/>
      <c r="J128" s="126"/>
      <c r="K128" s="114"/>
      <c r="L128" s="114"/>
      <c r="M128" s="54"/>
      <c r="N128" s="54"/>
    </row>
    <row r="129" spans="1:15">
      <c r="A129" s="125" t="s">
        <v>143</v>
      </c>
      <c r="B129" s="108">
        <v>24</v>
      </c>
      <c r="C129" s="57">
        <v>415</v>
      </c>
      <c r="E129" s="54">
        <v>36.69</v>
      </c>
      <c r="F129" s="126"/>
      <c r="G129" s="114">
        <v>15226</v>
      </c>
      <c r="I129" s="255"/>
      <c r="J129" s="126"/>
      <c r="K129" s="114"/>
      <c r="L129" s="114"/>
      <c r="M129" s="127" t="s">
        <v>72</v>
      </c>
      <c r="N129" s="128">
        <f>K137</f>
        <v>0</v>
      </c>
    </row>
    <row r="130" spans="1:15">
      <c r="A130" s="125" t="s">
        <v>144</v>
      </c>
      <c r="B130" s="108">
        <v>25</v>
      </c>
      <c r="C130" s="57">
        <v>535</v>
      </c>
      <c r="E130" s="54">
        <v>29.72</v>
      </c>
      <c r="F130" s="126"/>
      <c r="G130" s="114">
        <v>15900</v>
      </c>
      <c r="I130" s="255"/>
      <c r="J130" s="126"/>
      <c r="K130" s="114"/>
      <c r="L130" s="114"/>
      <c r="M130" s="131" t="s">
        <v>74</v>
      </c>
      <c r="N130" s="132">
        <f>RateSpread!M41*1000</f>
        <v>0</v>
      </c>
    </row>
    <row r="131" spans="1:15">
      <c r="A131" s="125" t="s">
        <v>145</v>
      </c>
      <c r="B131" s="108">
        <v>26</v>
      </c>
      <c r="C131" s="57">
        <v>23</v>
      </c>
      <c r="E131" s="54">
        <v>57.58</v>
      </c>
      <c r="F131" s="126"/>
      <c r="G131" s="114">
        <v>1324</v>
      </c>
      <c r="I131" s="255"/>
      <c r="J131" s="126"/>
      <c r="K131" s="114"/>
      <c r="L131" s="147"/>
      <c r="M131" s="133" t="s">
        <v>76</v>
      </c>
      <c r="N131" s="134">
        <f>N130-N129</f>
        <v>0</v>
      </c>
      <c r="O131" s="176"/>
    </row>
    <row r="132" spans="1:15">
      <c r="A132" s="125" t="s">
        <v>146</v>
      </c>
      <c r="B132" s="108">
        <v>27</v>
      </c>
      <c r="C132" s="57">
        <v>104</v>
      </c>
      <c r="E132" s="54">
        <v>49.1</v>
      </c>
      <c r="F132" s="126"/>
      <c r="G132" s="114">
        <v>5106</v>
      </c>
      <c r="I132" s="255"/>
      <c r="J132" s="126"/>
      <c r="K132" s="114"/>
      <c r="M132" s="137" t="s">
        <v>79</v>
      </c>
      <c r="N132" s="167"/>
    </row>
    <row r="133" spans="1:15">
      <c r="A133" s="125" t="s">
        <v>147</v>
      </c>
      <c r="C133" s="57">
        <v>157648</v>
      </c>
      <c r="G133" s="114">
        <v>2964728</v>
      </c>
      <c r="K133" s="114"/>
      <c r="L133" s="114"/>
      <c r="M133" s="151" t="s">
        <v>81</v>
      </c>
      <c r="N133" s="170"/>
      <c r="O133" s="155"/>
    </row>
    <row r="134" spans="1:15">
      <c r="A134" s="125" t="s">
        <v>148</v>
      </c>
      <c r="C134" s="120">
        <v>12321574.48</v>
      </c>
      <c r="G134" s="114"/>
      <c r="K134" s="114"/>
      <c r="L134" s="147"/>
      <c r="M134" s="123" t="s">
        <v>96</v>
      </c>
      <c r="N134" s="177"/>
      <c r="O134" s="155"/>
    </row>
    <row r="135" spans="1:15">
      <c r="A135" s="125" t="s">
        <v>149</v>
      </c>
      <c r="C135" s="178">
        <v>0</v>
      </c>
      <c r="E135" s="179"/>
      <c r="G135" s="180">
        <v>0</v>
      </c>
      <c r="I135" s="264"/>
      <c r="K135" s="180"/>
      <c r="L135" s="147"/>
      <c r="M135" s="108" t="s">
        <v>150</v>
      </c>
      <c r="N135" s="167"/>
      <c r="O135" s="155"/>
    </row>
    <row r="136" spans="1:15">
      <c r="A136" s="125" t="s">
        <v>8</v>
      </c>
      <c r="C136" s="57">
        <v>7865</v>
      </c>
    </row>
    <row r="137" spans="1:15" ht="16.5" thickBot="1">
      <c r="A137" s="125" t="s">
        <v>151</v>
      </c>
      <c r="C137" s="181">
        <v>12321574.48</v>
      </c>
      <c r="E137" s="157"/>
      <c r="G137" s="158">
        <v>2964728</v>
      </c>
      <c r="I137" s="261"/>
      <c r="K137" s="158">
        <f>K135+K133</f>
        <v>0</v>
      </c>
    </row>
    <row r="138" spans="1:15" ht="16.5" thickTop="1">
      <c r="C138" s="57"/>
      <c r="L138" s="114"/>
      <c r="O138" s="57"/>
    </row>
    <row r="139" spans="1:15">
      <c r="A139" s="122" t="s">
        <v>152</v>
      </c>
      <c r="C139" s="57"/>
      <c r="L139" s="114"/>
      <c r="O139" s="57"/>
    </row>
    <row r="140" spans="1:15">
      <c r="A140" s="125" t="s">
        <v>101</v>
      </c>
      <c r="C140" s="57">
        <v>3565</v>
      </c>
      <c r="E140" s="54">
        <v>62</v>
      </c>
      <c r="F140" s="126"/>
      <c r="G140" s="114">
        <v>221030</v>
      </c>
      <c r="I140" s="255"/>
      <c r="J140" s="126"/>
      <c r="K140" s="114"/>
      <c r="L140" s="114"/>
      <c r="M140" s="54"/>
      <c r="N140" s="105" t="s">
        <v>384</v>
      </c>
      <c r="O140" s="57"/>
    </row>
    <row r="141" spans="1:15">
      <c r="A141" s="125" t="s">
        <v>153</v>
      </c>
      <c r="C141" s="57">
        <v>4772324</v>
      </c>
      <c r="E141" s="54">
        <v>4.22</v>
      </c>
      <c r="F141" s="126"/>
      <c r="G141" s="114">
        <v>20139207</v>
      </c>
      <c r="I141" s="255"/>
      <c r="J141" s="126"/>
      <c r="K141" s="114"/>
      <c r="L141" s="114"/>
      <c r="M141" s="127" t="s">
        <v>72</v>
      </c>
      <c r="N141" s="128">
        <f>K149+SUM(K419:K420,K422:K424)</f>
        <v>2503659</v>
      </c>
      <c r="O141" s="57"/>
    </row>
    <row r="142" spans="1:15">
      <c r="A142" s="125" t="s">
        <v>154</v>
      </c>
      <c r="C142" s="57">
        <v>1975920</v>
      </c>
      <c r="E142" s="54">
        <v>13.81</v>
      </c>
      <c r="F142" s="126"/>
      <c r="G142" s="114">
        <v>27287455</v>
      </c>
      <c r="I142" s="255">
        <f>$N$145</f>
        <v>0.02</v>
      </c>
      <c r="J142" s="126"/>
      <c r="K142" s="114">
        <f t="shared" ref="K142:K143" si="22">ROUND(G142*I142,0)</f>
        <v>545749</v>
      </c>
      <c r="L142" s="114"/>
      <c r="M142" s="131" t="s">
        <v>74</v>
      </c>
      <c r="N142" s="132">
        <f>(RateSpread!M24)*1000+SUM(G419:G420,G422:G424)/SUM(G419:G420,G422:G424,G427:G431)*RateSpread!M33*1000</f>
        <v>2494934.9632669035</v>
      </c>
      <c r="O142" s="255">
        <f t="shared" ref="O142:O143" si="23">K142/G142</f>
        <v>1.9999996335312326E-2</v>
      </c>
    </row>
    <row r="143" spans="1:15">
      <c r="A143" s="125" t="s">
        <v>155</v>
      </c>
      <c r="C143" s="57">
        <v>2667179</v>
      </c>
      <c r="E143" s="54">
        <v>9.94</v>
      </c>
      <c r="F143" s="126"/>
      <c r="G143" s="114">
        <v>26511759</v>
      </c>
      <c r="I143" s="255">
        <f t="shared" ref="I143:I147" si="24">$N$145</f>
        <v>0.02</v>
      </c>
      <c r="J143" s="126"/>
      <c r="K143" s="114">
        <f t="shared" si="22"/>
        <v>530235</v>
      </c>
      <c r="L143" s="114"/>
      <c r="M143" s="133" t="s">
        <v>76</v>
      </c>
      <c r="N143" s="134">
        <f>N142-N141</f>
        <v>-8724.0367330964655</v>
      </c>
      <c r="O143" s="255">
        <f t="shared" si="23"/>
        <v>1.9999993210559886E-2</v>
      </c>
    </row>
    <row r="144" spans="1:15">
      <c r="A144" s="125" t="s">
        <v>104</v>
      </c>
      <c r="C144" s="57">
        <v>1901244</v>
      </c>
      <c r="E144" s="54">
        <v>-1.01</v>
      </c>
      <c r="F144" s="126"/>
      <c r="G144" s="114">
        <v>-1920256</v>
      </c>
      <c r="I144" s="255"/>
      <c r="J144" s="126"/>
      <c r="K144" s="114"/>
      <c r="L144" s="147"/>
      <c r="M144" s="137"/>
      <c r="N144" s="167"/>
    </row>
    <row r="145" spans="1:15">
      <c r="A145" s="125" t="s">
        <v>98</v>
      </c>
      <c r="C145" s="57">
        <v>250201729</v>
      </c>
      <c r="E145" s="182">
        <v>4.4812000000000003</v>
      </c>
      <c r="F145" s="136" t="s">
        <v>78</v>
      </c>
      <c r="G145" s="114">
        <v>11212040</v>
      </c>
      <c r="I145" s="255">
        <f t="shared" si="24"/>
        <v>0.02</v>
      </c>
      <c r="J145" s="136"/>
      <c r="K145" s="114">
        <f t="shared" ref="K145:K147" si="25">ROUND(G145*I145,0)</f>
        <v>224241</v>
      </c>
      <c r="L145" s="147"/>
      <c r="M145" s="139" t="s">
        <v>81</v>
      </c>
      <c r="N145" s="168">
        <f>ROUND(N142/SUM(G142:G143,G145:G147,G419:G420,G422:G424),4)+N389</f>
        <v>0.02</v>
      </c>
      <c r="O145" s="255">
        <f t="shared" ref="O145:O147" si="26">K145/G145</f>
        <v>2.0000017837967041E-2</v>
      </c>
    </row>
    <row r="146" spans="1:15">
      <c r="A146" s="125" t="s">
        <v>117</v>
      </c>
      <c r="C146" s="57">
        <v>596020623</v>
      </c>
      <c r="E146" s="182">
        <v>3.5078</v>
      </c>
      <c r="F146" s="136" t="s">
        <v>78</v>
      </c>
      <c r="G146" s="114">
        <v>20907211</v>
      </c>
      <c r="I146" s="255">
        <f t="shared" si="24"/>
        <v>0.02</v>
      </c>
      <c r="J146" s="136"/>
      <c r="K146" s="114">
        <f t="shared" si="25"/>
        <v>418144</v>
      </c>
      <c r="L146" s="147"/>
      <c r="M146" s="139"/>
      <c r="N146" s="168"/>
      <c r="O146" s="255">
        <f t="shared" si="26"/>
        <v>1.9999989477314788E-2</v>
      </c>
    </row>
    <row r="147" spans="1:15">
      <c r="A147" s="125" t="s">
        <v>156</v>
      </c>
      <c r="C147" s="57">
        <v>1230693339</v>
      </c>
      <c r="E147" s="182">
        <v>3.0226999999999999</v>
      </c>
      <c r="F147" s="136" t="s">
        <v>78</v>
      </c>
      <c r="G147" s="114">
        <v>37200168</v>
      </c>
      <c r="I147" s="255">
        <f t="shared" si="24"/>
        <v>0.02</v>
      </c>
      <c r="J147" s="136"/>
      <c r="K147" s="114">
        <f t="shared" si="25"/>
        <v>744003</v>
      </c>
      <c r="L147" s="147"/>
      <c r="M147" s="151"/>
      <c r="N147" s="183"/>
      <c r="O147" s="255">
        <f t="shared" si="26"/>
        <v>1.999999032262435E-2</v>
      </c>
    </row>
    <row r="148" spans="1:15">
      <c r="A148" s="125" t="s">
        <v>93</v>
      </c>
      <c r="C148" s="58">
        <v>0</v>
      </c>
      <c r="G148" s="154">
        <v>0</v>
      </c>
      <c r="K148" s="154"/>
      <c r="M148" s="123"/>
      <c r="N148" s="177"/>
    </row>
    <row r="149" spans="1:15" ht="16.5" thickBot="1">
      <c r="A149" s="125" t="s">
        <v>94</v>
      </c>
      <c r="C149" s="169">
        <v>2076915691</v>
      </c>
      <c r="E149" s="163"/>
      <c r="G149" s="164">
        <v>141558614</v>
      </c>
      <c r="I149" s="263"/>
      <c r="K149" s="164">
        <f>SUM(K140:K148)</f>
        <v>2462372</v>
      </c>
      <c r="M149" s="123"/>
      <c r="N149" s="56"/>
    </row>
    <row r="150" spans="1:15" ht="16.5" thickTop="1">
      <c r="L150" s="114"/>
      <c r="O150" s="57"/>
    </row>
    <row r="151" spans="1:15">
      <c r="A151" s="122" t="s">
        <v>157</v>
      </c>
      <c r="C151" s="57"/>
      <c r="L151" s="114"/>
      <c r="M151" s="108" t="s">
        <v>385</v>
      </c>
      <c r="O151" s="57"/>
    </row>
    <row r="152" spans="1:15">
      <c r="A152" s="125" t="s">
        <v>101</v>
      </c>
      <c r="C152" s="57">
        <v>1710</v>
      </c>
      <c r="E152" s="54">
        <v>226</v>
      </c>
      <c r="F152" s="126"/>
      <c r="G152" s="114">
        <v>386460</v>
      </c>
      <c r="I152" s="255"/>
      <c r="J152" s="126"/>
      <c r="K152" s="114"/>
      <c r="L152" s="114"/>
      <c r="M152" s="127" t="s">
        <v>72</v>
      </c>
      <c r="N152" s="128">
        <f>K160+SUM(K427:K431,K457:K462)</f>
        <v>5797458</v>
      </c>
      <c r="O152" s="57"/>
    </row>
    <row r="153" spans="1:15">
      <c r="A153" s="125" t="s">
        <v>153</v>
      </c>
      <c r="C153" s="57">
        <v>8310024</v>
      </c>
      <c r="E153" s="54">
        <v>1.94</v>
      </c>
      <c r="F153" s="126"/>
      <c r="G153" s="114">
        <v>16121447</v>
      </c>
      <c r="I153" s="255"/>
      <c r="J153" s="126"/>
      <c r="K153" s="114"/>
      <c r="L153" s="114"/>
      <c r="M153" s="131" t="s">
        <v>74</v>
      </c>
      <c r="N153" s="132">
        <f>(RateSpread!M25+RateSpread!M36)*1000+SUM(G427:G431)/SUM(G419:G420,G422:G424,G427:G431)*RateSpread!M33*1000</f>
        <v>5805496.0808759397</v>
      </c>
    </row>
    <row r="154" spans="1:15">
      <c r="A154" s="125" t="s">
        <v>154</v>
      </c>
      <c r="C154" s="57">
        <v>3430491</v>
      </c>
      <c r="E154" s="54">
        <v>12.18</v>
      </c>
      <c r="F154" s="126"/>
      <c r="G154" s="114">
        <v>41783380</v>
      </c>
      <c r="I154" s="255">
        <f>$N$156</f>
        <v>2.18E-2</v>
      </c>
      <c r="J154" s="126"/>
      <c r="K154" s="114">
        <f t="shared" ref="K154:K158" si="27">ROUND(G154*I154,0)</f>
        <v>910878</v>
      </c>
      <c r="L154" s="114"/>
      <c r="M154" s="133" t="s">
        <v>76</v>
      </c>
      <c r="N154" s="134">
        <f>N153-N152</f>
        <v>8038.0808759396896</v>
      </c>
      <c r="O154" s="255">
        <f t="shared" ref="O154:O158" si="28">K154/G154</f>
        <v>2.1800007562815645E-2</v>
      </c>
    </row>
    <row r="155" spans="1:15">
      <c r="A155" s="125" t="s">
        <v>155</v>
      </c>
      <c r="C155" s="57">
        <v>4733270</v>
      </c>
      <c r="E155" s="54">
        <v>8.26</v>
      </c>
      <c r="F155" s="126"/>
      <c r="G155" s="114">
        <v>39096810</v>
      </c>
      <c r="I155" s="255">
        <f t="shared" ref="I155:I158" si="29">$N$156</f>
        <v>2.18E-2</v>
      </c>
      <c r="J155" s="126"/>
      <c r="K155" s="114">
        <f t="shared" si="27"/>
        <v>852310</v>
      </c>
      <c r="L155" s="147"/>
      <c r="M155" s="137"/>
      <c r="N155" s="167"/>
      <c r="O155" s="255">
        <f t="shared" si="28"/>
        <v>2.1799988285489277E-2</v>
      </c>
    </row>
    <row r="156" spans="1:15">
      <c r="A156" s="125" t="s">
        <v>158</v>
      </c>
      <c r="C156" s="57">
        <v>471006782</v>
      </c>
      <c r="E156" s="184">
        <v>4.0587999999999997</v>
      </c>
      <c r="F156" s="136" t="s">
        <v>78</v>
      </c>
      <c r="G156" s="114">
        <v>19117223</v>
      </c>
      <c r="I156" s="255">
        <f t="shared" si="29"/>
        <v>2.18E-2</v>
      </c>
      <c r="J156" s="136"/>
      <c r="K156" s="114">
        <f t="shared" si="27"/>
        <v>416755</v>
      </c>
      <c r="L156" s="147"/>
      <c r="M156" s="139" t="s">
        <v>81</v>
      </c>
      <c r="N156" s="168">
        <f>ROUND(N153/SUM(G154:G158,G427:G431,G457:G458,G460:G462),4)+N390</f>
        <v>2.18E-2</v>
      </c>
      <c r="O156" s="255">
        <f t="shared" si="28"/>
        <v>2.1799975864695412E-2</v>
      </c>
    </row>
    <row r="157" spans="1:15">
      <c r="A157" s="125" t="s">
        <v>159</v>
      </c>
      <c r="C157" s="57">
        <v>1240617545</v>
      </c>
      <c r="E157" s="184">
        <v>3.052</v>
      </c>
      <c r="F157" s="136" t="s">
        <v>78</v>
      </c>
      <c r="G157" s="114">
        <v>37863647</v>
      </c>
      <c r="I157" s="255">
        <f t="shared" si="29"/>
        <v>2.18E-2</v>
      </c>
      <c r="J157" s="136"/>
      <c r="K157" s="114">
        <f t="shared" si="27"/>
        <v>825428</v>
      </c>
      <c r="L157" s="147"/>
      <c r="M157" s="139"/>
      <c r="N157" s="168"/>
      <c r="O157" s="255">
        <f t="shared" si="28"/>
        <v>2.1800013083789843E-2</v>
      </c>
    </row>
    <row r="158" spans="1:15">
      <c r="A158" s="125" t="s">
        <v>156</v>
      </c>
      <c r="C158" s="57">
        <v>2826442914.974</v>
      </c>
      <c r="E158" s="185">
        <v>2.5488</v>
      </c>
      <c r="F158" s="136" t="s">
        <v>78</v>
      </c>
      <c r="G158" s="114">
        <v>72040377</v>
      </c>
      <c r="I158" s="255">
        <f t="shared" si="29"/>
        <v>2.18E-2</v>
      </c>
      <c r="J158" s="136"/>
      <c r="K158" s="114">
        <f t="shared" si="27"/>
        <v>1570480</v>
      </c>
      <c r="L158" s="147"/>
      <c r="M158" s="151"/>
      <c r="N158" s="170"/>
      <c r="O158" s="255">
        <f t="shared" si="28"/>
        <v>2.1799996965590561E-2</v>
      </c>
    </row>
    <row r="159" spans="1:15">
      <c r="A159" s="125" t="s">
        <v>93</v>
      </c>
      <c r="C159" s="58">
        <v>0</v>
      </c>
      <c r="G159" s="154">
        <v>0</v>
      </c>
      <c r="K159" s="154"/>
      <c r="M159" s="123"/>
      <c r="N159" s="177"/>
    </row>
    <row r="160" spans="1:15" ht="16.5" thickBot="1">
      <c r="A160" s="125" t="s">
        <v>94</v>
      </c>
      <c r="C160" s="169">
        <v>4538067241.974</v>
      </c>
      <c r="E160" s="163"/>
      <c r="G160" s="164">
        <v>226409344</v>
      </c>
      <c r="I160" s="263"/>
      <c r="K160" s="164">
        <f>SUM(K152:K159)</f>
        <v>4575851</v>
      </c>
      <c r="M160" s="109"/>
      <c r="N160" s="124"/>
    </row>
    <row r="161" spans="1:15" ht="16.5" thickTop="1">
      <c r="C161" s="57"/>
      <c r="L161" s="114"/>
    </row>
    <row r="162" spans="1:15">
      <c r="A162" s="122" t="s">
        <v>160</v>
      </c>
      <c r="C162" s="57"/>
      <c r="E162" s="166"/>
      <c r="F162" s="172"/>
      <c r="I162" s="256"/>
      <c r="J162" s="172"/>
      <c r="L162" s="114"/>
      <c r="M162" s="127" t="s">
        <v>72</v>
      </c>
      <c r="N162" s="128">
        <f>K168</f>
        <v>58270</v>
      </c>
      <c r="O162" s="57"/>
    </row>
    <row r="163" spans="1:15">
      <c r="A163" s="125" t="s">
        <v>101</v>
      </c>
      <c r="C163" s="57">
        <v>107.9999833333333</v>
      </c>
      <c r="E163" s="54">
        <v>226</v>
      </c>
      <c r="F163" s="126"/>
      <c r="G163" s="114">
        <v>24408</v>
      </c>
      <c r="I163" s="255"/>
      <c r="J163" s="126"/>
      <c r="K163" s="114"/>
      <c r="L163" s="114"/>
      <c r="M163" s="139" t="s">
        <v>74</v>
      </c>
      <c r="N163" s="132">
        <f>RateSpread!M26*1000</f>
        <v>58319.943366027474</v>
      </c>
      <c r="O163" s="57"/>
    </row>
    <row r="164" spans="1:15">
      <c r="A164" s="125" t="s">
        <v>161</v>
      </c>
      <c r="C164" s="57">
        <v>247208</v>
      </c>
      <c r="E164" s="54">
        <v>1.94</v>
      </c>
      <c r="F164" s="126"/>
      <c r="G164" s="114">
        <v>479584</v>
      </c>
      <c r="I164" s="255"/>
      <c r="J164" s="126"/>
      <c r="K164" s="114"/>
      <c r="L164" s="147"/>
      <c r="M164" s="133" t="s">
        <v>76</v>
      </c>
      <c r="N164" s="134">
        <f>N163-N162</f>
        <v>49.94336602747353</v>
      </c>
      <c r="O164" s="155"/>
    </row>
    <row r="165" spans="1:15">
      <c r="A165" s="125" t="s">
        <v>162</v>
      </c>
      <c r="C165" s="57">
        <v>24112579</v>
      </c>
      <c r="E165" s="55">
        <v>7.4984999999999999</v>
      </c>
      <c r="F165" s="136" t="s">
        <v>78</v>
      </c>
      <c r="G165" s="114">
        <v>1808082</v>
      </c>
      <c r="I165" s="255">
        <f>$N$166</f>
        <v>2.4199999999999999E-2</v>
      </c>
      <c r="J165" s="136"/>
      <c r="K165" s="114">
        <f t="shared" ref="K165:K166" si="30">ROUND(G165*I165,0)</f>
        <v>43756</v>
      </c>
      <c r="L165" s="147"/>
      <c r="M165" s="137"/>
      <c r="N165" s="168"/>
      <c r="O165" s="255">
        <f t="shared" ref="O165:O166" si="31">K165/G165</f>
        <v>2.4200229856831713E-2</v>
      </c>
    </row>
    <row r="166" spans="1:15">
      <c r="A166" s="125" t="s">
        <v>156</v>
      </c>
      <c r="C166" s="57">
        <v>18605127</v>
      </c>
      <c r="E166" s="55">
        <v>3.2235999999999998</v>
      </c>
      <c r="F166" s="136" t="s">
        <v>78</v>
      </c>
      <c r="G166" s="114">
        <v>599755</v>
      </c>
      <c r="I166" s="255">
        <f>$N$166</f>
        <v>2.4199999999999999E-2</v>
      </c>
      <c r="J166" s="136"/>
      <c r="K166" s="114">
        <f t="shared" si="30"/>
        <v>14514</v>
      </c>
      <c r="L166" s="147"/>
      <c r="M166" s="139" t="s">
        <v>81</v>
      </c>
      <c r="N166" s="168">
        <f>ROUND(N163/SUM(G165:G166),4)</f>
        <v>2.4199999999999999E-2</v>
      </c>
      <c r="O166" s="255">
        <f t="shared" si="31"/>
        <v>2.4199881618327482E-2</v>
      </c>
    </row>
    <row r="167" spans="1:15">
      <c r="A167" s="125" t="s">
        <v>93</v>
      </c>
      <c r="C167" s="58">
        <v>0</v>
      </c>
      <c r="G167" s="154">
        <v>0</v>
      </c>
      <c r="K167" s="154"/>
      <c r="M167" s="139"/>
      <c r="N167" s="168"/>
    </row>
    <row r="168" spans="1:15" ht="16.5" thickBot="1">
      <c r="A168" s="125" t="s">
        <v>94</v>
      </c>
      <c r="C168" s="169">
        <v>42717706</v>
      </c>
      <c r="E168" s="163"/>
      <c r="G168" s="164">
        <v>2911829</v>
      </c>
      <c r="I168" s="263"/>
      <c r="K168" s="164">
        <f>SUM(K163:K167)</f>
        <v>58270</v>
      </c>
      <c r="M168" s="151"/>
      <c r="N168" s="183"/>
    </row>
    <row r="169" spans="1:15" ht="16.5" thickTop="1">
      <c r="C169" s="57"/>
      <c r="L169" s="114"/>
    </row>
    <row r="170" spans="1:15">
      <c r="A170" s="122" t="s">
        <v>163</v>
      </c>
      <c r="L170" s="114"/>
      <c r="O170" s="57"/>
    </row>
    <row r="171" spans="1:15">
      <c r="A171" s="125" t="s">
        <v>164</v>
      </c>
      <c r="C171" s="57">
        <v>6</v>
      </c>
      <c r="E171" s="146">
        <v>110</v>
      </c>
      <c r="F171" s="145"/>
      <c r="G171" s="114">
        <v>660</v>
      </c>
      <c r="I171" s="256"/>
      <c r="J171" s="145"/>
      <c r="K171" s="114"/>
      <c r="L171" s="114"/>
    </row>
    <row r="172" spans="1:15">
      <c r="A172" s="125" t="s">
        <v>165</v>
      </c>
      <c r="C172" s="57">
        <v>2641</v>
      </c>
      <c r="E172" s="146">
        <v>34</v>
      </c>
      <c r="F172" s="145"/>
      <c r="G172" s="114">
        <v>89794</v>
      </c>
      <c r="I172" s="256"/>
      <c r="J172" s="145"/>
      <c r="K172" s="114"/>
      <c r="L172" s="114"/>
      <c r="M172" s="54"/>
      <c r="O172" s="57"/>
    </row>
    <row r="173" spans="1:15">
      <c r="A173" s="125" t="s">
        <v>166</v>
      </c>
      <c r="C173" s="57">
        <v>11758</v>
      </c>
      <c r="E173" s="146">
        <v>13</v>
      </c>
      <c r="F173" s="145"/>
      <c r="G173" s="114">
        <v>152854</v>
      </c>
      <c r="I173" s="256"/>
      <c r="J173" s="145"/>
      <c r="K173" s="114"/>
      <c r="L173" s="147"/>
      <c r="M173" s="54"/>
      <c r="O173" s="57"/>
    </row>
    <row r="174" spans="1:15">
      <c r="A174" s="125" t="s">
        <v>167</v>
      </c>
      <c r="C174" s="57">
        <v>374044</v>
      </c>
      <c r="E174" s="146">
        <v>6.44</v>
      </c>
      <c r="F174" s="145"/>
      <c r="G174" s="114">
        <v>2408843</v>
      </c>
      <c r="I174" s="256">
        <f>$N$180</f>
        <v>1.72E-2</v>
      </c>
      <c r="J174" s="145"/>
      <c r="K174" s="114">
        <f t="shared" ref="K174:K177" si="32">ROUND(G174*I174,0)</f>
        <v>41432</v>
      </c>
      <c r="L174" s="147"/>
      <c r="N174" s="165"/>
      <c r="O174" s="255">
        <f>K174/G174</f>
        <v>1.7199958652348867E-2</v>
      </c>
    </row>
    <row r="175" spans="1:15">
      <c r="A175" s="125" t="s">
        <v>104</v>
      </c>
      <c r="C175" s="57">
        <v>4469</v>
      </c>
      <c r="E175" s="146">
        <v>-1.8</v>
      </c>
      <c r="F175" s="145"/>
      <c r="G175" s="114">
        <v>-8044</v>
      </c>
      <c r="I175" s="256"/>
      <c r="J175" s="145"/>
      <c r="K175" s="114"/>
      <c r="M175" s="187"/>
      <c r="N175" s="165"/>
    </row>
    <row r="176" spans="1:15">
      <c r="A176" s="125" t="s">
        <v>168</v>
      </c>
      <c r="C176" s="57">
        <v>79033048</v>
      </c>
      <c r="E176" s="55">
        <v>6.4139999999999997</v>
      </c>
      <c r="F176" s="136" t="s">
        <v>78</v>
      </c>
      <c r="G176" s="114">
        <v>5069180</v>
      </c>
      <c r="I176" s="256">
        <f t="shared" ref="I176:I177" si="33">$N$180</f>
        <v>1.72E-2</v>
      </c>
      <c r="J176" s="136"/>
      <c r="K176" s="114">
        <f t="shared" si="32"/>
        <v>87190</v>
      </c>
      <c r="L176" s="147"/>
      <c r="M176" s="108" t="s">
        <v>169</v>
      </c>
      <c r="O176" s="255">
        <f t="shared" ref="O176:O177" si="34">K176/G176</f>
        <v>1.7200020516138705E-2</v>
      </c>
    </row>
    <row r="177" spans="1:15">
      <c r="A177" s="125" t="s">
        <v>170</v>
      </c>
      <c r="C177" s="58">
        <v>49786304</v>
      </c>
      <c r="E177" s="55">
        <v>4.7408999999999999</v>
      </c>
      <c r="F177" s="136" t="s">
        <v>78</v>
      </c>
      <c r="G177" s="154">
        <v>2360319</v>
      </c>
      <c r="I177" s="256">
        <f t="shared" si="33"/>
        <v>1.72E-2</v>
      </c>
      <c r="J177" s="136"/>
      <c r="K177" s="154">
        <f t="shared" si="32"/>
        <v>40597</v>
      </c>
      <c r="L177" s="114"/>
      <c r="M177" s="127" t="s">
        <v>72</v>
      </c>
      <c r="N177" s="128">
        <f>K184+K200</f>
        <v>220957</v>
      </c>
      <c r="O177" s="255">
        <f t="shared" si="34"/>
        <v>1.7199793756691364E-2</v>
      </c>
    </row>
    <row r="178" spans="1:15">
      <c r="A178" s="125" t="s">
        <v>171</v>
      </c>
      <c r="C178" s="188">
        <v>128819352</v>
      </c>
      <c r="E178" s="189"/>
      <c r="G178" s="154">
        <v>10073606</v>
      </c>
      <c r="I178" s="265"/>
      <c r="K178" s="154">
        <f>SUM(K171:K177)</f>
        <v>169219</v>
      </c>
      <c r="L178" s="147"/>
      <c r="M178" s="139" t="s">
        <v>74</v>
      </c>
      <c r="N178" s="132">
        <f>RateSpread!M30*1000</f>
        <v>221532.12755516317</v>
      </c>
      <c r="O178" s="57"/>
    </row>
    <row r="179" spans="1:15">
      <c r="A179" s="125" t="s">
        <v>172</v>
      </c>
      <c r="C179" s="57"/>
      <c r="L179" s="147"/>
      <c r="M179" s="133" t="s">
        <v>76</v>
      </c>
      <c r="N179" s="190">
        <f>N178-N177</f>
        <v>575.12755516316975</v>
      </c>
    </row>
    <row r="180" spans="1:15">
      <c r="A180" s="125" t="s">
        <v>173</v>
      </c>
      <c r="C180" s="130">
        <v>5098</v>
      </c>
      <c r="E180" s="145">
        <v>13</v>
      </c>
      <c r="F180" s="145"/>
      <c r="G180" s="147">
        <v>66274</v>
      </c>
      <c r="I180" s="266"/>
      <c r="J180" s="145"/>
      <c r="K180" s="147"/>
      <c r="L180" s="147"/>
      <c r="M180" s="151" t="s">
        <v>81</v>
      </c>
      <c r="N180" s="170">
        <f>ROUND(N178/SUM(G174,G176:G177,G181,G190,G192:G193,G197),4)</f>
        <v>1.72E-2</v>
      </c>
    </row>
    <row r="181" spans="1:15">
      <c r="A181" s="125" t="s">
        <v>174</v>
      </c>
      <c r="C181" s="58">
        <v>42136180</v>
      </c>
      <c r="E181" s="166">
        <v>4.3933999999999997</v>
      </c>
      <c r="F181" s="136" t="s">
        <v>78</v>
      </c>
      <c r="G181" s="180">
        <v>1851211</v>
      </c>
      <c r="I181" s="256">
        <f>$N$180</f>
        <v>1.72E-2</v>
      </c>
      <c r="J181" s="136"/>
      <c r="K181" s="154">
        <f t="shared" ref="K181" si="35">ROUND(G181*I181,0)</f>
        <v>31841</v>
      </c>
      <c r="L181" s="147"/>
      <c r="M181" s="137"/>
      <c r="N181" s="167"/>
      <c r="O181" s="255">
        <f>K181/G181</f>
        <v>1.7200092263928855E-2</v>
      </c>
    </row>
    <row r="182" spans="1:15">
      <c r="A182" s="125" t="s">
        <v>175</v>
      </c>
      <c r="C182" s="58">
        <v>42136180</v>
      </c>
      <c r="E182" s="189"/>
      <c r="G182" s="154">
        <v>1917485</v>
      </c>
      <c r="I182" s="265"/>
      <c r="K182" s="154">
        <f>K180+K181</f>
        <v>31841</v>
      </c>
      <c r="L182" s="147"/>
      <c r="M182" s="139"/>
      <c r="N182" s="168"/>
    </row>
    <row r="183" spans="1:15">
      <c r="A183" s="125" t="s">
        <v>93</v>
      </c>
      <c r="C183" s="58">
        <v>0</v>
      </c>
      <c r="G183" s="154">
        <v>0</v>
      </c>
      <c r="K183" s="154"/>
      <c r="M183" s="151"/>
      <c r="N183" s="170"/>
    </row>
    <row r="184" spans="1:15" ht="16.5" thickBot="1">
      <c r="A184" s="125" t="s">
        <v>176</v>
      </c>
      <c r="C184" s="169">
        <v>170955532</v>
      </c>
      <c r="E184" s="163"/>
      <c r="G184" s="164">
        <v>11991091</v>
      </c>
      <c r="I184" s="263"/>
      <c r="K184" s="164">
        <f>K182+K178+K183</f>
        <v>201060</v>
      </c>
    </row>
    <row r="185" spans="1:15" ht="16.5" thickTop="1">
      <c r="C185" s="57"/>
      <c r="L185" s="114"/>
    </row>
    <row r="186" spans="1:15">
      <c r="A186" s="122" t="s">
        <v>177</v>
      </c>
      <c r="C186" s="57"/>
      <c r="L186" s="114"/>
    </row>
    <row r="187" spans="1:15">
      <c r="A187" s="125" t="s">
        <v>164</v>
      </c>
      <c r="C187" s="57">
        <v>3</v>
      </c>
      <c r="E187" s="146">
        <v>110</v>
      </c>
      <c r="F187" s="145"/>
      <c r="G187" s="114">
        <v>330</v>
      </c>
      <c r="I187" s="256"/>
      <c r="J187" s="145"/>
      <c r="K187" s="114"/>
      <c r="L187" s="114"/>
    </row>
    <row r="188" spans="1:15">
      <c r="A188" s="125" t="s">
        <v>165</v>
      </c>
      <c r="C188" s="130">
        <v>260</v>
      </c>
      <c r="E188" s="146">
        <v>34</v>
      </c>
      <c r="F188" s="145"/>
      <c r="G188" s="114">
        <v>8840</v>
      </c>
      <c r="I188" s="256"/>
      <c r="J188" s="145"/>
      <c r="K188" s="114"/>
      <c r="L188" s="114"/>
      <c r="O188" s="57"/>
    </row>
    <row r="189" spans="1:15">
      <c r="A189" s="125" t="s">
        <v>178</v>
      </c>
      <c r="C189" s="130">
        <v>1144</v>
      </c>
      <c r="E189" s="146">
        <v>13</v>
      </c>
      <c r="F189" s="145"/>
      <c r="G189" s="114">
        <v>14872</v>
      </c>
      <c r="I189" s="256"/>
      <c r="J189" s="145"/>
      <c r="K189" s="114"/>
      <c r="L189" s="147"/>
      <c r="O189" s="57"/>
    </row>
    <row r="190" spans="1:15">
      <c r="A190" s="125" t="s">
        <v>167</v>
      </c>
      <c r="C190" s="130">
        <v>46123</v>
      </c>
      <c r="E190" s="146">
        <v>6.44</v>
      </c>
      <c r="F190" s="145"/>
      <c r="G190" s="114">
        <v>297032</v>
      </c>
      <c r="I190" s="256">
        <f>$N$180</f>
        <v>1.72E-2</v>
      </c>
      <c r="J190" s="145"/>
      <c r="K190" s="114">
        <f t="shared" ref="K190:K193" si="36">ROUND(G190*I190,0)</f>
        <v>5109</v>
      </c>
      <c r="L190" s="147"/>
      <c r="O190" s="255">
        <f>K190/G190</f>
        <v>1.7200166985375312E-2</v>
      </c>
    </row>
    <row r="191" spans="1:15">
      <c r="A191" s="125" t="s">
        <v>179</v>
      </c>
      <c r="C191" s="130">
        <v>2564</v>
      </c>
      <c r="E191" s="146">
        <v>-1.8</v>
      </c>
      <c r="F191" s="145"/>
      <c r="G191" s="114">
        <v>-4615</v>
      </c>
      <c r="I191" s="256"/>
      <c r="J191" s="145"/>
      <c r="K191" s="114"/>
      <c r="N191" s="165"/>
    </row>
    <row r="192" spans="1:15">
      <c r="A192" s="125" t="s">
        <v>162</v>
      </c>
      <c r="C192" s="130">
        <v>2538780</v>
      </c>
      <c r="E192" s="55">
        <v>12.671900000000001</v>
      </c>
      <c r="F192" s="136" t="s">
        <v>78</v>
      </c>
      <c r="G192" s="114">
        <v>321712</v>
      </c>
      <c r="I192" s="256">
        <f t="shared" ref="I192:I193" si="37">$N$180</f>
        <v>1.72E-2</v>
      </c>
      <c r="J192" s="136"/>
      <c r="K192" s="114">
        <f t="shared" si="36"/>
        <v>5533</v>
      </c>
      <c r="L192" s="147"/>
      <c r="O192" s="255">
        <f t="shared" ref="O192:O193" si="38">K192/G192</f>
        <v>1.7198612423534092E-2</v>
      </c>
    </row>
    <row r="193" spans="1:15">
      <c r="A193" s="125" t="s">
        <v>156</v>
      </c>
      <c r="C193" s="58">
        <v>9267796</v>
      </c>
      <c r="E193" s="166">
        <v>3.6644000000000001</v>
      </c>
      <c r="F193" s="136" t="s">
        <v>78</v>
      </c>
      <c r="G193" s="180">
        <v>339609</v>
      </c>
      <c r="I193" s="256">
        <f t="shared" si="37"/>
        <v>1.72E-2</v>
      </c>
      <c r="J193" s="136"/>
      <c r="K193" s="154">
        <f t="shared" si="36"/>
        <v>5841</v>
      </c>
      <c r="L193" s="114"/>
      <c r="O193" s="255">
        <f t="shared" si="38"/>
        <v>1.7199190834165171E-2</v>
      </c>
    </row>
    <row r="194" spans="1:15">
      <c r="A194" s="125" t="s">
        <v>171</v>
      </c>
      <c r="C194" s="58">
        <v>11806576</v>
      </c>
      <c r="E194" s="189"/>
      <c r="G194" s="154">
        <v>977780</v>
      </c>
      <c r="I194" s="265"/>
      <c r="K194" s="154">
        <f>SUM(K187:K193)</f>
        <v>16483</v>
      </c>
      <c r="L194" s="147"/>
    </row>
    <row r="195" spans="1:15">
      <c r="A195" s="125" t="s">
        <v>172</v>
      </c>
      <c r="C195" s="57"/>
      <c r="L195" s="147"/>
      <c r="M195" s="124"/>
      <c r="N195" s="147"/>
    </row>
    <row r="196" spans="1:15">
      <c r="A196" s="125" t="s">
        <v>173</v>
      </c>
      <c r="C196" s="130">
        <v>551</v>
      </c>
      <c r="E196" s="145">
        <v>13</v>
      </c>
      <c r="F196" s="145"/>
      <c r="G196" s="147">
        <v>7163</v>
      </c>
      <c r="I196" s="266"/>
      <c r="J196" s="145"/>
      <c r="K196" s="147"/>
      <c r="L196" s="147"/>
      <c r="M196" s="109"/>
      <c r="N196" s="142"/>
    </row>
    <row r="197" spans="1:15">
      <c r="A197" s="125" t="s">
        <v>174</v>
      </c>
      <c r="C197" s="58">
        <v>4517896</v>
      </c>
      <c r="E197" s="166">
        <v>4.3933999999999997</v>
      </c>
      <c r="F197" s="136" t="s">
        <v>78</v>
      </c>
      <c r="G197" s="180">
        <v>198489</v>
      </c>
      <c r="I197" s="256">
        <f>$N$180</f>
        <v>1.72E-2</v>
      </c>
      <c r="J197" s="136"/>
      <c r="K197" s="154">
        <f t="shared" ref="K197" si="39">ROUND(G197*I197,0)</f>
        <v>3414</v>
      </c>
      <c r="L197" s="147"/>
      <c r="M197" s="124"/>
      <c r="N197" s="147"/>
      <c r="O197" s="255">
        <f>K197/G197</f>
        <v>1.7199945588924324E-2</v>
      </c>
    </row>
    <row r="198" spans="1:15">
      <c r="A198" s="125" t="s">
        <v>175</v>
      </c>
      <c r="C198" s="58">
        <v>4517896</v>
      </c>
      <c r="E198" s="189"/>
      <c r="G198" s="154">
        <v>205652</v>
      </c>
      <c r="I198" s="265"/>
      <c r="K198" s="154">
        <f>K196+K197</f>
        <v>3414</v>
      </c>
      <c r="L198" s="147"/>
      <c r="M198" s="109"/>
      <c r="N198" s="142"/>
      <c r="O198" s="155"/>
    </row>
    <row r="199" spans="1:15">
      <c r="A199" s="125" t="s">
        <v>93</v>
      </c>
      <c r="C199" s="58">
        <v>0</v>
      </c>
      <c r="G199" s="154">
        <v>0</v>
      </c>
      <c r="K199" s="154"/>
      <c r="N199" s="171"/>
    </row>
    <row r="200" spans="1:15" ht="16.5" thickBot="1">
      <c r="A200" s="125" t="s">
        <v>180</v>
      </c>
      <c r="C200" s="169">
        <v>16324472</v>
      </c>
      <c r="E200" s="163"/>
      <c r="G200" s="164">
        <v>1183432</v>
      </c>
      <c r="I200" s="263"/>
      <c r="K200" s="164">
        <f>K198+K194+K199</f>
        <v>19897</v>
      </c>
    </row>
    <row r="201" spans="1:15" ht="16.5" thickTop="1">
      <c r="C201" s="57"/>
      <c r="L201" s="114"/>
    </row>
    <row r="202" spans="1:15">
      <c r="A202" s="122" t="s">
        <v>181</v>
      </c>
      <c r="C202" s="57"/>
      <c r="L202" s="114"/>
      <c r="M202" s="105"/>
    </row>
    <row r="203" spans="1:15">
      <c r="A203" s="175" t="s">
        <v>182</v>
      </c>
      <c r="C203" s="130"/>
      <c r="E203" s="126"/>
      <c r="F203" s="126"/>
      <c r="G203" s="147"/>
      <c r="I203" s="262"/>
      <c r="J203" s="126"/>
      <c r="K203" s="147"/>
      <c r="L203" s="114"/>
      <c r="M203" s="127" t="s">
        <v>72</v>
      </c>
      <c r="N203" s="128">
        <f>K252</f>
        <v>0</v>
      </c>
    </row>
    <row r="204" spans="1:15">
      <c r="A204" s="125" t="s">
        <v>183</v>
      </c>
      <c r="C204" s="57">
        <v>40532</v>
      </c>
      <c r="E204" s="54">
        <v>11.8</v>
      </c>
      <c r="F204" s="126"/>
      <c r="G204" s="114">
        <v>478278</v>
      </c>
      <c r="I204" s="255"/>
      <c r="J204" s="126"/>
      <c r="K204" s="114"/>
      <c r="L204" s="114"/>
      <c r="M204" s="131" t="s">
        <v>74</v>
      </c>
      <c r="N204" s="132">
        <f>RateSpread!M42*1000</f>
        <v>0</v>
      </c>
    </row>
    <row r="205" spans="1:15">
      <c r="A205" s="125" t="s">
        <v>184</v>
      </c>
      <c r="C205" s="57">
        <v>220174</v>
      </c>
      <c r="E205" s="54">
        <v>12.78</v>
      </c>
      <c r="F205" s="126"/>
      <c r="G205" s="114">
        <v>2813824</v>
      </c>
      <c r="I205" s="255"/>
      <c r="J205" s="126"/>
      <c r="K205" s="114"/>
      <c r="L205" s="105"/>
      <c r="M205" s="133" t="s">
        <v>76</v>
      </c>
      <c r="N205" s="134">
        <f>N204-N203</f>
        <v>0</v>
      </c>
    </row>
    <row r="206" spans="1:15">
      <c r="A206" s="125" t="s">
        <v>185</v>
      </c>
      <c r="C206" s="57">
        <v>136</v>
      </c>
      <c r="E206" s="54">
        <v>11.5</v>
      </c>
      <c r="F206" s="126"/>
      <c r="G206" s="114">
        <v>1564</v>
      </c>
      <c r="I206" s="255"/>
      <c r="J206" s="126"/>
      <c r="K206" s="114"/>
      <c r="L206" s="105"/>
      <c r="M206" s="137" t="s">
        <v>79</v>
      </c>
      <c r="N206" s="167"/>
    </row>
    <row r="207" spans="1:15">
      <c r="A207" s="125" t="s">
        <v>186</v>
      </c>
      <c r="C207" s="57">
        <v>301</v>
      </c>
      <c r="E207" s="54">
        <v>46.54</v>
      </c>
      <c r="F207" s="126"/>
      <c r="G207" s="114">
        <v>14009</v>
      </c>
      <c r="I207" s="255"/>
      <c r="J207" s="126"/>
      <c r="K207" s="114"/>
      <c r="L207" s="105"/>
      <c r="M207" s="151" t="s">
        <v>81</v>
      </c>
      <c r="N207" s="170"/>
    </row>
    <row r="208" spans="1:15">
      <c r="A208" s="125" t="s">
        <v>187</v>
      </c>
      <c r="C208" s="57">
        <v>170</v>
      </c>
      <c r="E208" s="54">
        <v>38.049999999999997</v>
      </c>
      <c r="F208" s="126"/>
      <c r="G208" s="114">
        <v>6469</v>
      </c>
      <c r="I208" s="255"/>
      <c r="J208" s="126"/>
      <c r="K208" s="114"/>
      <c r="L208" s="105"/>
      <c r="M208" s="123" t="s">
        <v>96</v>
      </c>
      <c r="N208" s="177"/>
    </row>
    <row r="209" spans="1:14">
      <c r="A209" s="125" t="s">
        <v>188</v>
      </c>
      <c r="C209" s="57">
        <v>19524</v>
      </c>
      <c r="E209" s="54">
        <v>16.940000000000001</v>
      </c>
      <c r="F209" s="126"/>
      <c r="G209" s="114">
        <v>330737</v>
      </c>
      <c r="I209" s="255"/>
      <c r="J209" s="126"/>
      <c r="K209" s="114"/>
      <c r="L209" s="105"/>
      <c r="M209" s="191"/>
      <c r="N209" s="191"/>
    </row>
    <row r="210" spans="1:14">
      <c r="A210" s="125" t="s">
        <v>189</v>
      </c>
      <c r="C210" s="57">
        <v>84</v>
      </c>
      <c r="E210" s="54">
        <v>15.25</v>
      </c>
      <c r="F210" s="126"/>
      <c r="G210" s="114">
        <v>1281</v>
      </c>
      <c r="I210" s="255"/>
      <c r="J210" s="126"/>
      <c r="K210" s="114"/>
      <c r="L210" s="105"/>
      <c r="M210" s="191"/>
      <c r="N210" s="191"/>
    </row>
    <row r="211" spans="1:14">
      <c r="A211" s="125" t="s">
        <v>190</v>
      </c>
      <c r="C211" s="57">
        <v>1223</v>
      </c>
      <c r="E211" s="54">
        <v>47.83</v>
      </c>
      <c r="F211" s="126"/>
      <c r="G211" s="114">
        <v>58496</v>
      </c>
      <c r="I211" s="255"/>
      <c r="J211" s="126"/>
      <c r="K211" s="114"/>
      <c r="L211" s="105"/>
      <c r="M211" s="191"/>
      <c r="N211" s="191"/>
    </row>
    <row r="212" spans="1:14">
      <c r="A212" s="125" t="s">
        <v>191</v>
      </c>
      <c r="C212" s="57">
        <v>742</v>
      </c>
      <c r="E212" s="54">
        <v>39.340000000000003</v>
      </c>
      <c r="F212" s="126"/>
      <c r="G212" s="114">
        <v>29190</v>
      </c>
      <c r="I212" s="255"/>
      <c r="J212" s="126"/>
      <c r="K212" s="114"/>
      <c r="L212" s="105"/>
      <c r="M212" s="191"/>
      <c r="N212" s="191"/>
    </row>
    <row r="213" spans="1:14">
      <c r="A213" s="125" t="s">
        <v>192</v>
      </c>
      <c r="C213" s="57">
        <v>26455</v>
      </c>
      <c r="E213" s="54">
        <v>21.14</v>
      </c>
      <c r="F213" s="126"/>
      <c r="G213" s="114">
        <v>559259</v>
      </c>
      <c r="I213" s="255"/>
      <c r="J213" s="126"/>
      <c r="K213" s="114"/>
      <c r="L213" s="105"/>
      <c r="M213" s="191"/>
      <c r="N213" s="191"/>
    </row>
    <row r="214" spans="1:14">
      <c r="A214" s="125" t="s">
        <v>193</v>
      </c>
      <c r="C214" s="57">
        <v>42</v>
      </c>
      <c r="E214" s="54">
        <v>19.03</v>
      </c>
      <c r="F214" s="126"/>
      <c r="G214" s="114">
        <v>799</v>
      </c>
      <c r="I214" s="255"/>
      <c r="J214" s="126"/>
      <c r="K214" s="114"/>
      <c r="L214" s="105"/>
      <c r="M214" s="191"/>
      <c r="N214" s="191"/>
    </row>
    <row r="215" spans="1:14">
      <c r="A215" s="125" t="s">
        <v>194</v>
      </c>
      <c r="C215" s="57">
        <v>1173</v>
      </c>
      <c r="E215" s="54">
        <v>51.48</v>
      </c>
      <c r="F215" s="126"/>
      <c r="G215" s="114">
        <v>60386</v>
      </c>
      <c r="I215" s="255"/>
      <c r="J215" s="126"/>
      <c r="K215" s="114"/>
      <c r="L215" s="105"/>
      <c r="M215" s="191"/>
      <c r="N215" s="191"/>
    </row>
    <row r="216" spans="1:14">
      <c r="A216" s="125" t="s">
        <v>195</v>
      </c>
      <c r="C216" s="57">
        <v>0</v>
      </c>
      <c r="E216" s="54">
        <v>43.01</v>
      </c>
      <c r="F216" s="126"/>
      <c r="G216" s="114">
        <v>0</v>
      </c>
      <c r="I216" s="255"/>
      <c r="J216" s="126"/>
      <c r="K216" s="114"/>
      <c r="L216" s="105"/>
      <c r="M216" s="191"/>
      <c r="N216" s="191"/>
    </row>
    <row r="217" spans="1:14">
      <c r="A217" s="125" t="s">
        <v>196</v>
      </c>
      <c r="C217" s="57">
        <v>11790</v>
      </c>
      <c r="E217" s="54">
        <v>26.02</v>
      </c>
      <c r="F217" s="126"/>
      <c r="G217" s="114">
        <v>306776</v>
      </c>
      <c r="I217" s="255"/>
      <c r="J217" s="126"/>
      <c r="K217" s="114"/>
      <c r="L217" s="105"/>
      <c r="M217" s="192"/>
      <c r="N217" s="192"/>
    </row>
    <row r="218" spans="1:14">
      <c r="A218" s="125" t="s">
        <v>197</v>
      </c>
      <c r="C218" s="57">
        <v>0</v>
      </c>
      <c r="E218" s="54">
        <v>51.54</v>
      </c>
      <c r="F218" s="126"/>
      <c r="G218" s="114">
        <v>0</v>
      </c>
      <c r="I218" s="255"/>
      <c r="J218" s="126"/>
      <c r="K218" s="114"/>
      <c r="L218" s="105"/>
      <c r="M218" s="191"/>
      <c r="N218" s="191"/>
    </row>
    <row r="219" spans="1:14">
      <c r="A219" s="175" t="s">
        <v>198</v>
      </c>
      <c r="C219" s="57"/>
      <c r="E219" s="146"/>
      <c r="F219" s="145"/>
      <c r="G219" s="114"/>
      <c r="I219" s="256"/>
      <c r="J219" s="145"/>
      <c r="K219" s="114"/>
      <c r="L219" s="105"/>
      <c r="M219" s="191"/>
      <c r="N219" s="191"/>
    </row>
    <row r="220" spans="1:14" s="108" customFormat="1">
      <c r="A220" s="125" t="s">
        <v>199</v>
      </c>
      <c r="C220" s="57">
        <v>42</v>
      </c>
      <c r="D220" s="109"/>
      <c r="E220" s="54">
        <v>48.74</v>
      </c>
      <c r="F220" s="126"/>
      <c r="G220" s="114">
        <v>2047</v>
      </c>
      <c r="H220" s="109"/>
      <c r="I220" s="255"/>
      <c r="J220" s="126"/>
      <c r="K220" s="114"/>
      <c r="M220" s="191"/>
      <c r="N220" s="191"/>
    </row>
    <row r="221" spans="1:14">
      <c r="A221" s="125" t="s">
        <v>200</v>
      </c>
      <c r="C221" s="57">
        <v>513</v>
      </c>
      <c r="E221" s="54">
        <v>40.270000000000003</v>
      </c>
      <c r="F221" s="126"/>
      <c r="G221" s="114">
        <v>20659</v>
      </c>
      <c r="I221" s="255"/>
      <c r="J221" s="126"/>
      <c r="K221" s="114"/>
      <c r="L221" s="105"/>
      <c r="M221" s="191"/>
      <c r="N221" s="191"/>
    </row>
    <row r="222" spans="1:14">
      <c r="A222" s="125" t="s">
        <v>201</v>
      </c>
      <c r="C222" s="57">
        <v>117</v>
      </c>
      <c r="E222" s="54">
        <v>20.13</v>
      </c>
      <c r="F222" s="126"/>
      <c r="G222" s="114">
        <v>2355</v>
      </c>
      <c r="I222" s="255"/>
      <c r="J222" s="126"/>
      <c r="K222" s="114"/>
      <c r="L222" s="105"/>
      <c r="M222" s="192"/>
      <c r="N222" s="192"/>
    </row>
    <row r="223" spans="1:14">
      <c r="A223" s="125" t="s">
        <v>202</v>
      </c>
      <c r="C223" s="57">
        <v>0</v>
      </c>
      <c r="E223" s="54">
        <v>50.65</v>
      </c>
      <c r="F223" s="126"/>
      <c r="G223" s="114">
        <v>0</v>
      </c>
      <c r="I223" s="255"/>
      <c r="J223" s="126"/>
      <c r="K223" s="114"/>
      <c r="L223" s="105"/>
      <c r="M223" s="191"/>
      <c r="N223" s="191"/>
    </row>
    <row r="224" spans="1:14">
      <c r="A224" s="125" t="s">
        <v>203</v>
      </c>
      <c r="C224" s="57">
        <v>1540</v>
      </c>
      <c r="E224" s="54">
        <v>42.17</v>
      </c>
      <c r="F224" s="126"/>
      <c r="G224" s="114">
        <v>64942</v>
      </c>
      <c r="I224" s="255"/>
      <c r="J224" s="126"/>
      <c r="K224" s="114"/>
      <c r="L224" s="105"/>
      <c r="M224" s="191"/>
      <c r="N224" s="191"/>
    </row>
    <row r="225" spans="1:14" s="108" customFormat="1">
      <c r="A225" s="125" t="s">
        <v>204</v>
      </c>
      <c r="C225" s="57">
        <v>337</v>
      </c>
      <c r="D225" s="109"/>
      <c r="E225" s="54">
        <v>22.13</v>
      </c>
      <c r="F225" s="126"/>
      <c r="G225" s="114">
        <v>7458</v>
      </c>
      <c r="H225" s="109"/>
      <c r="I225" s="255"/>
      <c r="J225" s="126"/>
      <c r="K225" s="114"/>
      <c r="M225" s="192"/>
      <c r="N225" s="192"/>
    </row>
    <row r="226" spans="1:14">
      <c r="A226" s="125" t="s">
        <v>205</v>
      </c>
      <c r="C226" s="57">
        <v>84</v>
      </c>
      <c r="E226" s="54">
        <v>53.69</v>
      </c>
      <c r="F226" s="126"/>
      <c r="G226" s="114">
        <v>4510</v>
      </c>
      <c r="I226" s="255"/>
      <c r="J226" s="126"/>
      <c r="K226" s="114"/>
      <c r="L226" s="105"/>
      <c r="M226" s="191"/>
      <c r="N226" s="191"/>
    </row>
    <row r="227" spans="1:14">
      <c r="A227" s="125" t="s">
        <v>206</v>
      </c>
      <c r="C227" s="57">
        <v>373</v>
      </c>
      <c r="E227" s="54">
        <v>45.2</v>
      </c>
      <c r="F227" s="126"/>
      <c r="G227" s="114">
        <v>16860</v>
      </c>
      <c r="I227" s="255"/>
      <c r="J227" s="126"/>
      <c r="K227" s="114"/>
      <c r="L227" s="105"/>
      <c r="M227" s="191"/>
      <c r="N227" s="191"/>
    </row>
    <row r="228" spans="1:14" s="108" customFormat="1">
      <c r="A228" s="125" t="s">
        <v>207</v>
      </c>
      <c r="C228" s="57">
        <v>10</v>
      </c>
      <c r="D228" s="109"/>
      <c r="E228" s="126">
        <v>25.78</v>
      </c>
      <c r="F228" s="126"/>
      <c r="G228" s="114">
        <v>258</v>
      </c>
      <c r="H228" s="109"/>
      <c r="I228" s="255"/>
      <c r="J228" s="126"/>
      <c r="K228" s="114"/>
      <c r="M228" s="192"/>
      <c r="N228" s="192"/>
    </row>
    <row r="229" spans="1:14">
      <c r="A229" s="125" t="s">
        <v>208</v>
      </c>
      <c r="C229" s="57">
        <v>0</v>
      </c>
      <c r="E229" s="126">
        <v>55.33</v>
      </c>
      <c r="F229" s="126"/>
      <c r="G229" s="114">
        <v>0</v>
      </c>
      <c r="I229" s="255"/>
      <c r="J229" s="126"/>
      <c r="K229" s="114"/>
      <c r="L229" s="105"/>
      <c r="M229" s="191"/>
      <c r="N229" s="191"/>
    </row>
    <row r="230" spans="1:14">
      <c r="A230" s="125" t="s">
        <v>209</v>
      </c>
      <c r="C230" s="57">
        <v>0</v>
      </c>
      <c r="E230" s="126">
        <v>46.86</v>
      </c>
      <c r="F230" s="126"/>
      <c r="G230" s="114">
        <v>0</v>
      </c>
      <c r="I230" s="255"/>
      <c r="J230" s="126"/>
      <c r="K230" s="114"/>
      <c r="L230" s="105"/>
      <c r="M230" s="191"/>
      <c r="N230" s="191"/>
    </row>
    <row r="231" spans="1:14" s="108" customFormat="1">
      <c r="A231" s="175" t="s">
        <v>210</v>
      </c>
      <c r="C231" s="130"/>
      <c r="D231" s="109"/>
      <c r="E231" s="126"/>
      <c r="F231" s="126"/>
      <c r="G231" s="147"/>
      <c r="H231" s="109"/>
      <c r="I231" s="262"/>
      <c r="J231" s="126"/>
      <c r="K231" s="147"/>
      <c r="M231" s="191"/>
      <c r="N231" s="191"/>
    </row>
    <row r="232" spans="1:14">
      <c r="A232" s="125" t="s">
        <v>211</v>
      </c>
      <c r="C232" s="57">
        <v>8417</v>
      </c>
      <c r="E232" s="54">
        <v>11.09</v>
      </c>
      <c r="F232" s="126"/>
      <c r="G232" s="114">
        <v>93345</v>
      </c>
      <c r="I232" s="255"/>
      <c r="J232" s="126"/>
      <c r="K232" s="114"/>
      <c r="L232" s="105"/>
      <c r="M232" s="191"/>
      <c r="N232" s="191"/>
    </row>
    <row r="233" spans="1:14">
      <c r="A233" s="125" t="s">
        <v>122</v>
      </c>
      <c r="C233" s="57">
        <v>10540</v>
      </c>
      <c r="E233" s="54">
        <v>13.83</v>
      </c>
      <c r="F233" s="126"/>
      <c r="G233" s="114">
        <v>145768</v>
      </c>
      <c r="I233" s="255"/>
      <c r="J233" s="126"/>
      <c r="K233" s="114"/>
      <c r="L233" s="105"/>
      <c r="M233" s="191"/>
      <c r="N233" s="191"/>
    </row>
    <row r="234" spans="1:14">
      <c r="A234" s="125" t="s">
        <v>212</v>
      </c>
      <c r="C234" s="57">
        <v>281</v>
      </c>
      <c r="E234" s="54">
        <v>19.399999999999999</v>
      </c>
      <c r="F234" s="126"/>
      <c r="G234" s="114">
        <v>5451</v>
      </c>
      <c r="I234" s="255"/>
      <c r="J234" s="126"/>
      <c r="K234" s="114"/>
      <c r="L234" s="105"/>
      <c r="M234" s="191"/>
      <c r="N234" s="191"/>
    </row>
    <row r="235" spans="1:14">
      <c r="A235" s="125" t="s">
        <v>213</v>
      </c>
      <c r="C235" s="57">
        <v>0</v>
      </c>
      <c r="E235" s="54">
        <v>17.46</v>
      </c>
      <c r="F235" s="126"/>
      <c r="G235" s="114">
        <v>0</v>
      </c>
      <c r="I235" s="255"/>
      <c r="J235" s="126"/>
      <c r="K235" s="114"/>
      <c r="L235" s="105"/>
      <c r="M235" s="191"/>
      <c r="N235" s="191"/>
    </row>
    <row r="236" spans="1:14">
      <c r="A236" s="125" t="s">
        <v>124</v>
      </c>
      <c r="C236" s="57">
        <v>1685</v>
      </c>
      <c r="E236" s="54">
        <v>24.43</v>
      </c>
      <c r="F236" s="126"/>
      <c r="G236" s="114">
        <v>41165</v>
      </c>
      <c r="I236" s="255"/>
      <c r="J236" s="126"/>
      <c r="K236" s="114"/>
      <c r="L236" s="105"/>
      <c r="M236" s="191"/>
      <c r="N236" s="191"/>
    </row>
    <row r="237" spans="1:14">
      <c r="A237" s="175" t="s">
        <v>214</v>
      </c>
      <c r="C237" s="57"/>
      <c r="G237" s="114"/>
      <c r="K237" s="114"/>
      <c r="L237" s="105"/>
      <c r="M237" s="191"/>
      <c r="N237" s="191"/>
    </row>
    <row r="238" spans="1:14">
      <c r="A238" s="125" t="s">
        <v>215</v>
      </c>
      <c r="C238" s="57">
        <v>0</v>
      </c>
      <c r="E238" s="54">
        <v>11.99</v>
      </c>
      <c r="F238" s="126"/>
      <c r="G238" s="114">
        <v>0</v>
      </c>
      <c r="I238" s="255"/>
      <c r="J238" s="126"/>
      <c r="K238" s="114"/>
      <c r="L238" s="105"/>
      <c r="M238" s="191"/>
      <c r="N238" s="191"/>
    </row>
    <row r="239" spans="1:14">
      <c r="A239" s="125" t="s">
        <v>216</v>
      </c>
      <c r="C239" s="57">
        <v>126</v>
      </c>
      <c r="E239" s="54">
        <v>4.24</v>
      </c>
      <c r="F239" s="126"/>
      <c r="G239" s="114">
        <v>534</v>
      </c>
      <c r="I239" s="255"/>
      <c r="J239" s="126"/>
      <c r="K239" s="114"/>
      <c r="L239" s="105"/>
      <c r="M239" s="191"/>
      <c r="N239" s="191"/>
    </row>
    <row r="240" spans="1:14">
      <c r="A240" s="125" t="s">
        <v>217</v>
      </c>
      <c r="C240" s="57">
        <v>21</v>
      </c>
      <c r="E240" s="54">
        <v>17.11</v>
      </c>
      <c r="F240" s="126"/>
      <c r="G240" s="114">
        <v>359</v>
      </c>
      <c r="I240" s="255"/>
      <c r="J240" s="126"/>
      <c r="K240" s="114"/>
      <c r="L240" s="105"/>
      <c r="M240" s="191"/>
      <c r="N240" s="191"/>
    </row>
    <row r="241" spans="1:14">
      <c r="A241" s="125" t="s">
        <v>211</v>
      </c>
      <c r="C241" s="57">
        <v>332</v>
      </c>
      <c r="E241" s="54">
        <v>20.43</v>
      </c>
      <c r="F241" s="126"/>
      <c r="G241" s="114">
        <v>6783</v>
      </c>
      <c r="I241" s="255"/>
      <c r="J241" s="126"/>
      <c r="K241" s="114"/>
      <c r="L241" s="105"/>
      <c r="M241" s="191"/>
      <c r="N241" s="191"/>
    </row>
    <row r="242" spans="1:14">
      <c r="A242" s="125" t="s">
        <v>218</v>
      </c>
      <c r="C242" s="57">
        <v>550</v>
      </c>
      <c r="E242" s="54">
        <v>23.82</v>
      </c>
      <c r="F242" s="126"/>
      <c r="G242" s="114">
        <v>13101</v>
      </c>
      <c r="I242" s="255"/>
      <c r="J242" s="126"/>
      <c r="K242" s="114"/>
      <c r="L242" s="105"/>
      <c r="M242" s="191"/>
      <c r="N242" s="191"/>
    </row>
    <row r="243" spans="1:14">
      <c r="A243" s="125" t="s">
        <v>212</v>
      </c>
      <c r="C243" s="57">
        <v>21</v>
      </c>
      <c r="E243" s="54">
        <v>31.47</v>
      </c>
      <c r="F243" s="126"/>
      <c r="G243" s="114">
        <v>661</v>
      </c>
      <c r="I243" s="255"/>
      <c r="J243" s="126"/>
      <c r="K243" s="114"/>
      <c r="L243" s="105"/>
      <c r="M243" s="191"/>
      <c r="N243" s="191"/>
    </row>
    <row r="244" spans="1:14">
      <c r="A244" s="175" t="s">
        <v>219</v>
      </c>
      <c r="C244" s="130"/>
      <c r="E244" s="126"/>
      <c r="F244" s="126"/>
      <c r="G244" s="147"/>
      <c r="I244" s="262"/>
      <c r="J244" s="126"/>
      <c r="K244" s="147"/>
      <c r="L244" s="105"/>
      <c r="M244" s="191"/>
      <c r="N244" s="191"/>
    </row>
    <row r="245" spans="1:14">
      <c r="A245" s="125" t="s">
        <v>220</v>
      </c>
      <c r="C245" s="57">
        <v>10</v>
      </c>
      <c r="E245" s="54">
        <v>27.85</v>
      </c>
      <c r="F245" s="126"/>
      <c r="G245" s="114">
        <v>279</v>
      </c>
      <c r="I245" s="255"/>
      <c r="J245" s="126"/>
      <c r="K245" s="114"/>
      <c r="L245" s="105"/>
      <c r="M245" s="191"/>
      <c r="N245" s="191"/>
    </row>
    <row r="246" spans="1:14">
      <c r="A246" s="175" t="s">
        <v>221</v>
      </c>
      <c r="C246" s="57"/>
      <c r="E246" s="54"/>
      <c r="F246" s="126"/>
      <c r="G246" s="114"/>
      <c r="I246" s="255"/>
      <c r="J246" s="126"/>
      <c r="K246" s="114"/>
      <c r="L246" s="105"/>
      <c r="M246" s="191"/>
      <c r="N246" s="191"/>
    </row>
    <row r="247" spans="1:14">
      <c r="A247" s="125" t="s">
        <v>222</v>
      </c>
      <c r="C247" s="57">
        <v>42</v>
      </c>
      <c r="E247" s="54">
        <v>39.04</v>
      </c>
      <c r="F247" s="126"/>
      <c r="G247" s="114">
        <v>1640</v>
      </c>
      <c r="I247" s="255"/>
      <c r="J247" s="126"/>
      <c r="K247" s="114"/>
      <c r="L247" s="105"/>
      <c r="M247" s="191"/>
      <c r="N247" s="191"/>
    </row>
    <row r="248" spans="1:14">
      <c r="A248" s="125" t="s">
        <v>223</v>
      </c>
      <c r="C248" s="58">
        <v>347387</v>
      </c>
      <c r="E248" s="189"/>
      <c r="G248" s="154">
        <v>5089243</v>
      </c>
      <c r="I248" s="265"/>
      <c r="K248" s="154"/>
      <c r="L248" s="105"/>
      <c r="M248" s="191"/>
      <c r="N248" s="191"/>
    </row>
    <row r="249" spans="1:14" ht="16.5" thickBot="1">
      <c r="A249" s="125" t="s">
        <v>148</v>
      </c>
      <c r="C249" s="193">
        <v>17077687</v>
      </c>
      <c r="E249" s="163"/>
      <c r="G249" s="163"/>
      <c r="I249" s="263"/>
      <c r="K249" s="163"/>
      <c r="L249" s="105"/>
      <c r="M249" s="191"/>
      <c r="N249" s="191"/>
    </row>
    <row r="250" spans="1:14" ht="16.5" thickTop="1">
      <c r="A250" s="125" t="s">
        <v>8</v>
      </c>
      <c r="C250" s="120">
        <v>834.33333333333337</v>
      </c>
      <c r="L250" s="155"/>
      <c r="M250" s="191"/>
      <c r="N250" s="191"/>
    </row>
    <row r="251" spans="1:14">
      <c r="A251" s="125" t="s">
        <v>149</v>
      </c>
      <c r="C251" s="194">
        <v>0</v>
      </c>
      <c r="E251" s="189"/>
      <c r="G251" s="154">
        <v>0</v>
      </c>
      <c r="I251" s="265"/>
      <c r="K251" s="154"/>
      <c r="L251" s="105"/>
      <c r="M251" s="191"/>
      <c r="N251" s="191"/>
    </row>
    <row r="252" spans="1:14" ht="16.5" thickBot="1">
      <c r="A252" s="125" t="s">
        <v>224</v>
      </c>
      <c r="C252" s="193">
        <v>17077687</v>
      </c>
      <c r="E252" s="195"/>
      <c r="F252" s="196"/>
      <c r="G252" s="195">
        <v>5089243</v>
      </c>
      <c r="I252" s="267"/>
      <c r="J252" s="196"/>
      <c r="K252" s="195">
        <f>K251+K248</f>
        <v>0</v>
      </c>
      <c r="L252" s="105"/>
      <c r="M252" s="161"/>
      <c r="N252" s="191"/>
    </row>
    <row r="253" spans="1:14" ht="16.5" thickTop="1">
      <c r="C253" s="57"/>
      <c r="L253" s="105"/>
      <c r="M253" s="191"/>
      <c r="N253" s="191"/>
    </row>
    <row r="254" spans="1:14">
      <c r="A254" s="122" t="s">
        <v>225</v>
      </c>
      <c r="C254" s="57"/>
      <c r="L254" s="105"/>
      <c r="M254" s="191"/>
      <c r="N254" s="191"/>
    </row>
    <row r="255" spans="1:14">
      <c r="A255" s="197" t="s">
        <v>226</v>
      </c>
      <c r="C255" s="57"/>
      <c r="G255" s="114"/>
      <c r="K255" s="114"/>
      <c r="L255" s="105"/>
      <c r="M255" s="105"/>
    </row>
    <row r="256" spans="1:14">
      <c r="A256" s="175" t="s">
        <v>227</v>
      </c>
      <c r="C256" s="57"/>
      <c r="G256" s="114"/>
      <c r="K256" s="114"/>
      <c r="L256" s="105"/>
      <c r="M256" s="105"/>
    </row>
    <row r="257" spans="1:14">
      <c r="A257" s="125" t="s">
        <v>228</v>
      </c>
      <c r="C257" s="57">
        <v>112356</v>
      </c>
      <c r="E257" s="54">
        <v>1.83</v>
      </c>
      <c r="F257" s="126"/>
      <c r="G257" s="114">
        <v>205611</v>
      </c>
      <c r="I257" s="255"/>
      <c r="J257" s="126"/>
      <c r="K257" s="114"/>
      <c r="L257" s="105"/>
      <c r="M257" s="127" t="s">
        <v>72</v>
      </c>
      <c r="N257" s="128">
        <f>K346</f>
        <v>0</v>
      </c>
    </row>
    <row r="258" spans="1:14">
      <c r="A258" s="125" t="s">
        <v>229</v>
      </c>
      <c r="C258" s="57">
        <v>141986</v>
      </c>
      <c r="E258" s="54">
        <v>2.5</v>
      </c>
      <c r="F258" s="126"/>
      <c r="G258" s="114">
        <v>354965</v>
      </c>
      <c r="I258" s="255"/>
      <c r="J258" s="126"/>
      <c r="K258" s="114"/>
      <c r="L258" s="105"/>
      <c r="M258" s="131" t="s">
        <v>74</v>
      </c>
      <c r="N258" s="132">
        <f>RateSpread!M43*1000</f>
        <v>0</v>
      </c>
    </row>
    <row r="259" spans="1:14">
      <c r="A259" s="125" t="s">
        <v>230</v>
      </c>
      <c r="C259" s="57">
        <v>126742</v>
      </c>
      <c r="E259" s="54">
        <v>3.66</v>
      </c>
      <c r="F259" s="126"/>
      <c r="G259" s="114">
        <v>463876</v>
      </c>
      <c r="I259" s="255"/>
      <c r="J259" s="126"/>
      <c r="K259" s="114"/>
      <c r="L259" s="105"/>
      <c r="M259" s="133" t="s">
        <v>76</v>
      </c>
      <c r="N259" s="134">
        <f>N258-N257</f>
        <v>0</v>
      </c>
    </row>
    <row r="260" spans="1:14">
      <c r="A260" s="125" t="s">
        <v>231</v>
      </c>
      <c r="C260" s="57">
        <v>54240</v>
      </c>
      <c r="E260" s="54">
        <v>6.52</v>
      </c>
      <c r="F260" s="126"/>
      <c r="G260" s="114">
        <v>353645</v>
      </c>
      <c r="I260" s="255"/>
      <c r="J260" s="126"/>
      <c r="K260" s="114"/>
      <c r="L260" s="105"/>
      <c r="M260" s="137" t="s">
        <v>79</v>
      </c>
      <c r="N260" s="167"/>
    </row>
    <row r="261" spans="1:14">
      <c r="A261" s="125" t="s">
        <v>232</v>
      </c>
      <c r="C261" s="57">
        <v>74391</v>
      </c>
      <c r="E261" s="54">
        <v>10.02</v>
      </c>
      <c r="F261" s="126"/>
      <c r="G261" s="114">
        <v>745398</v>
      </c>
      <c r="I261" s="255"/>
      <c r="J261" s="126"/>
      <c r="K261" s="114"/>
      <c r="L261" s="105"/>
      <c r="M261" s="151" t="s">
        <v>81</v>
      </c>
      <c r="N261" s="170"/>
    </row>
    <row r="262" spans="1:14">
      <c r="A262" s="175" t="s">
        <v>233</v>
      </c>
      <c r="C262" s="57"/>
      <c r="E262" s="146"/>
      <c r="F262" s="145"/>
      <c r="G262" s="114"/>
      <c r="I262" s="256"/>
      <c r="J262" s="145"/>
      <c r="K262" s="114"/>
      <c r="L262" s="105"/>
      <c r="M262" s="123" t="s">
        <v>96</v>
      </c>
      <c r="N262" s="198"/>
    </row>
    <row r="263" spans="1:14">
      <c r="A263" s="125" t="s">
        <v>234</v>
      </c>
      <c r="C263" s="57">
        <v>6486</v>
      </c>
      <c r="E263" s="54">
        <v>2.5499999999999998</v>
      </c>
      <c r="F263" s="126"/>
      <c r="G263" s="114">
        <v>16539</v>
      </c>
      <c r="I263" s="255"/>
      <c r="J263" s="126"/>
      <c r="K263" s="114"/>
      <c r="L263" s="105"/>
      <c r="M263" s="191"/>
      <c r="N263" s="191"/>
    </row>
    <row r="264" spans="1:14">
      <c r="A264" s="125" t="s">
        <v>235</v>
      </c>
      <c r="C264" s="57">
        <v>18071</v>
      </c>
      <c r="E264" s="54">
        <v>4.46</v>
      </c>
      <c r="F264" s="126"/>
      <c r="G264" s="114">
        <v>80597</v>
      </c>
      <c r="I264" s="255"/>
      <c r="J264" s="126"/>
      <c r="K264" s="114"/>
      <c r="L264" s="105"/>
      <c r="M264" s="191"/>
      <c r="N264" s="191"/>
    </row>
    <row r="265" spans="1:14">
      <c r="A265" s="125" t="s">
        <v>236</v>
      </c>
      <c r="C265" s="57">
        <v>29386</v>
      </c>
      <c r="E265" s="54">
        <v>6.17</v>
      </c>
      <c r="F265" s="126"/>
      <c r="G265" s="114">
        <v>181312</v>
      </c>
      <c r="I265" s="255"/>
      <c r="J265" s="126"/>
      <c r="K265" s="114"/>
      <c r="L265" s="105"/>
      <c r="M265" s="191"/>
      <c r="N265" s="191"/>
    </row>
    <row r="266" spans="1:14">
      <c r="A266" s="125" t="s">
        <v>237</v>
      </c>
      <c r="C266" s="57">
        <v>28769</v>
      </c>
      <c r="E266" s="126">
        <v>9.77</v>
      </c>
      <c r="F266" s="126"/>
      <c r="G266" s="114">
        <v>281073</v>
      </c>
      <c r="I266" s="262"/>
      <c r="J266" s="126"/>
      <c r="K266" s="114"/>
      <c r="L266" s="105"/>
      <c r="M266" s="191"/>
      <c r="N266" s="191"/>
    </row>
    <row r="267" spans="1:14">
      <c r="A267" s="175" t="s">
        <v>238</v>
      </c>
      <c r="C267" s="57">
        <v>8033000</v>
      </c>
      <c r="E267" s="199">
        <v>6.5278999999999998</v>
      </c>
      <c r="F267" s="136" t="s">
        <v>78</v>
      </c>
      <c r="G267" s="114">
        <v>524386</v>
      </c>
      <c r="I267" s="268"/>
      <c r="J267" s="136"/>
      <c r="K267" s="114"/>
      <c r="L267" s="105"/>
      <c r="M267" s="191"/>
      <c r="N267" s="191"/>
    </row>
    <row r="268" spans="1:14">
      <c r="A268" s="175" t="s">
        <v>239</v>
      </c>
      <c r="C268" s="130">
        <v>48815242</v>
      </c>
      <c r="E268" s="199"/>
      <c r="F268" s="136"/>
      <c r="G268" s="147">
        <v>3207402</v>
      </c>
      <c r="I268" s="268"/>
      <c r="J268" s="126"/>
      <c r="K268" s="147"/>
      <c r="L268" s="105"/>
      <c r="M268" s="191"/>
      <c r="N268" s="191"/>
    </row>
    <row r="269" spans="1:14">
      <c r="A269" s="175" t="s">
        <v>149</v>
      </c>
      <c r="C269" s="130"/>
      <c r="E269" s="199"/>
      <c r="F269" s="136"/>
      <c r="G269" s="147"/>
      <c r="I269" s="268"/>
      <c r="J269" s="126"/>
      <c r="K269" s="147"/>
      <c r="L269" s="105"/>
      <c r="M269" s="191"/>
      <c r="N269" s="191"/>
    </row>
    <row r="270" spans="1:14">
      <c r="A270" s="175" t="s">
        <v>224</v>
      </c>
      <c r="C270" s="130">
        <v>48815242</v>
      </c>
      <c r="E270" s="199"/>
      <c r="F270" s="136"/>
      <c r="G270" s="147">
        <v>3207402</v>
      </c>
      <c r="I270" s="268"/>
      <c r="J270" s="126"/>
      <c r="K270" s="147"/>
      <c r="L270" s="105"/>
      <c r="M270" s="191"/>
      <c r="N270" s="191"/>
    </row>
    <row r="271" spans="1:14">
      <c r="A271" s="175" t="s">
        <v>240</v>
      </c>
      <c r="C271" s="130">
        <v>444.75</v>
      </c>
      <c r="E271" s="199"/>
      <c r="F271" s="136"/>
      <c r="G271" s="147"/>
      <c r="I271" s="268"/>
      <c r="J271" s="126"/>
      <c r="K271" s="147"/>
      <c r="L271" s="105"/>
      <c r="M271" s="191"/>
      <c r="N271" s="191"/>
    </row>
    <row r="272" spans="1:14">
      <c r="A272" s="200" t="s">
        <v>241</v>
      </c>
      <c r="C272" s="57"/>
      <c r="L272" s="105"/>
      <c r="M272" s="191"/>
      <c r="N272" s="191"/>
    </row>
    <row r="273" spans="1:14">
      <c r="A273" s="175" t="s">
        <v>242</v>
      </c>
      <c r="C273" s="57"/>
      <c r="G273" s="114"/>
      <c r="K273" s="114"/>
      <c r="L273" s="105"/>
      <c r="M273" s="191"/>
      <c r="N273" s="191"/>
    </row>
    <row r="274" spans="1:14">
      <c r="A274" s="125" t="s">
        <v>243</v>
      </c>
      <c r="C274" s="57">
        <v>78</v>
      </c>
      <c r="E274" s="54">
        <v>8.9600000000000009</v>
      </c>
      <c r="F274" s="126"/>
      <c r="G274" s="114">
        <v>699</v>
      </c>
      <c r="I274" s="255"/>
      <c r="J274" s="126"/>
      <c r="K274" s="114"/>
      <c r="L274" s="105"/>
      <c r="M274" s="191"/>
      <c r="N274" s="191"/>
    </row>
    <row r="275" spans="1:14">
      <c r="A275" s="125" t="s">
        <v>244</v>
      </c>
      <c r="C275" s="57">
        <v>0</v>
      </c>
      <c r="E275" s="54">
        <v>7.62</v>
      </c>
      <c r="F275" s="126"/>
      <c r="G275" s="114">
        <v>0</v>
      </c>
      <c r="I275" s="255"/>
      <c r="J275" s="126"/>
      <c r="K275" s="114"/>
      <c r="L275" s="105"/>
      <c r="M275" s="191"/>
      <c r="N275" s="191"/>
    </row>
    <row r="276" spans="1:14">
      <c r="A276" s="125" t="s">
        <v>211</v>
      </c>
      <c r="C276" s="57">
        <v>35</v>
      </c>
      <c r="E276" s="54">
        <v>12.19</v>
      </c>
      <c r="F276" s="126"/>
      <c r="G276" s="114">
        <v>427</v>
      </c>
      <c r="I276" s="255"/>
      <c r="J276" s="126"/>
      <c r="K276" s="114"/>
      <c r="L276" s="105"/>
      <c r="M276" s="191"/>
      <c r="N276" s="191"/>
    </row>
    <row r="277" spans="1:14">
      <c r="A277" s="175" t="s">
        <v>245</v>
      </c>
      <c r="C277" s="57"/>
      <c r="E277" s="54"/>
      <c r="F277" s="126"/>
      <c r="I277" s="255"/>
      <c r="J277" s="126"/>
      <c r="L277" s="105"/>
      <c r="M277" s="191"/>
      <c r="N277" s="191"/>
    </row>
    <row r="278" spans="1:14">
      <c r="A278" s="125" t="s">
        <v>211</v>
      </c>
      <c r="C278" s="57">
        <v>48</v>
      </c>
      <c r="E278" s="54">
        <v>4.6399999999999997</v>
      </c>
      <c r="F278" s="126"/>
      <c r="G278" s="114">
        <v>223</v>
      </c>
      <c r="I278" s="255"/>
      <c r="J278" s="126"/>
      <c r="K278" s="114"/>
      <c r="L278" s="105"/>
      <c r="M278" s="191"/>
      <c r="N278" s="191"/>
    </row>
    <row r="279" spans="1:14">
      <c r="A279" s="125" t="s">
        <v>122</v>
      </c>
      <c r="C279" s="130">
        <v>563</v>
      </c>
      <c r="E279" s="54">
        <v>7</v>
      </c>
      <c r="G279" s="114">
        <v>3941</v>
      </c>
      <c r="I279" s="266"/>
      <c r="K279" s="114"/>
      <c r="L279" s="126"/>
      <c r="M279" s="147"/>
      <c r="N279" s="191"/>
    </row>
    <row r="280" spans="1:14">
      <c r="A280" s="125" t="s">
        <v>212</v>
      </c>
      <c r="C280" s="57">
        <v>0</v>
      </c>
      <c r="E280" s="54">
        <v>9.08</v>
      </c>
      <c r="F280" s="126"/>
      <c r="G280" s="114">
        <v>0</v>
      </c>
      <c r="I280" s="255"/>
      <c r="J280" s="126"/>
      <c r="K280" s="114"/>
      <c r="L280" s="105"/>
      <c r="M280" s="191"/>
      <c r="N280" s="191"/>
    </row>
    <row r="281" spans="1:14">
      <c r="A281" s="125" t="s">
        <v>124</v>
      </c>
      <c r="C281" s="57">
        <v>82</v>
      </c>
      <c r="E281" s="54">
        <v>13.33</v>
      </c>
      <c r="F281" s="126"/>
      <c r="G281" s="114">
        <v>1093</v>
      </c>
      <c r="I281" s="255"/>
      <c r="J281" s="126"/>
      <c r="K281" s="114"/>
      <c r="L281" s="105"/>
      <c r="M281" s="191"/>
      <c r="N281" s="191"/>
    </row>
    <row r="282" spans="1:14">
      <c r="A282" s="125" t="s">
        <v>246</v>
      </c>
      <c r="C282" s="57">
        <v>0</v>
      </c>
      <c r="E282" s="54">
        <v>28.38</v>
      </c>
      <c r="F282" s="126"/>
      <c r="G282" s="114">
        <v>0</v>
      </c>
      <c r="I282" s="255"/>
      <c r="J282" s="126"/>
      <c r="K282" s="114"/>
      <c r="L282" s="105"/>
      <c r="M282" s="191"/>
      <c r="N282" s="191"/>
    </row>
    <row r="283" spans="1:14">
      <c r="A283" s="175" t="s">
        <v>247</v>
      </c>
      <c r="C283" s="57"/>
      <c r="E283" s="54"/>
      <c r="F283" s="126"/>
      <c r="G283" s="114"/>
      <c r="I283" s="255"/>
      <c r="J283" s="126"/>
      <c r="K283" s="114"/>
      <c r="L283" s="105"/>
      <c r="M283" s="191"/>
      <c r="N283" s="191"/>
    </row>
    <row r="284" spans="1:14">
      <c r="A284" s="125" t="s">
        <v>228</v>
      </c>
      <c r="C284" s="57">
        <v>29589</v>
      </c>
      <c r="E284" s="54">
        <v>4.08</v>
      </c>
      <c r="F284" s="126"/>
      <c r="G284" s="114">
        <v>120723</v>
      </c>
      <c r="I284" s="255"/>
      <c r="J284" s="126"/>
      <c r="K284" s="114"/>
      <c r="L284" s="105"/>
      <c r="M284" s="191"/>
      <c r="N284" s="191"/>
    </row>
    <row r="285" spans="1:14">
      <c r="A285" s="125" t="s">
        <v>229</v>
      </c>
      <c r="C285" s="57">
        <v>12331</v>
      </c>
      <c r="E285" s="54">
        <v>5.37</v>
      </c>
      <c r="F285" s="126"/>
      <c r="G285" s="114">
        <v>66217</v>
      </c>
      <c r="I285" s="255"/>
      <c r="J285" s="126"/>
      <c r="K285" s="114"/>
      <c r="L285" s="105"/>
      <c r="M285" s="191"/>
      <c r="N285" s="191"/>
    </row>
    <row r="286" spans="1:14">
      <c r="A286" s="125" t="s">
        <v>248</v>
      </c>
      <c r="C286" s="57">
        <v>10</v>
      </c>
      <c r="E286" s="54">
        <v>4.5599999999999996</v>
      </c>
      <c r="F286" s="126"/>
      <c r="G286" s="114">
        <v>46</v>
      </c>
      <c r="I286" s="255"/>
      <c r="J286" s="126"/>
      <c r="K286" s="114"/>
      <c r="L286" s="105"/>
      <c r="M286" s="191"/>
      <c r="N286" s="191"/>
    </row>
    <row r="287" spans="1:14">
      <c r="A287" s="125" t="s">
        <v>249</v>
      </c>
      <c r="C287" s="57">
        <v>7256</v>
      </c>
      <c r="E287" s="54">
        <v>6.96</v>
      </c>
      <c r="F287" s="126"/>
      <c r="G287" s="114">
        <v>50502</v>
      </c>
      <c r="I287" s="255"/>
      <c r="J287" s="126"/>
      <c r="K287" s="114"/>
      <c r="L287" s="105"/>
      <c r="M287" s="191"/>
      <c r="N287" s="191"/>
    </row>
    <row r="288" spans="1:14">
      <c r="A288" s="125" t="s">
        <v>230</v>
      </c>
      <c r="C288" s="57">
        <v>3205</v>
      </c>
      <c r="E288" s="54">
        <v>6.52</v>
      </c>
      <c r="F288" s="126"/>
      <c r="G288" s="114">
        <v>20897</v>
      </c>
      <c r="I288" s="255"/>
      <c r="J288" s="126"/>
      <c r="K288" s="114"/>
      <c r="L288" s="105"/>
      <c r="M288" s="191"/>
      <c r="N288" s="191"/>
    </row>
    <row r="289" spans="1:14">
      <c r="A289" s="125" t="s">
        <v>250</v>
      </c>
      <c r="C289" s="57">
        <v>0</v>
      </c>
      <c r="E289" s="54">
        <v>5.54</v>
      </c>
      <c r="F289" s="126"/>
      <c r="G289" s="114">
        <v>0</v>
      </c>
      <c r="I289" s="255"/>
      <c r="J289" s="126"/>
      <c r="K289" s="114"/>
      <c r="L289" s="105"/>
      <c r="M289" s="191"/>
      <c r="N289" s="191"/>
    </row>
    <row r="290" spans="1:14">
      <c r="A290" s="125" t="s">
        <v>251</v>
      </c>
      <c r="C290" s="57">
        <v>954</v>
      </c>
      <c r="E290" s="54">
        <v>8.27</v>
      </c>
      <c r="F290" s="126"/>
      <c r="G290" s="114">
        <v>7890</v>
      </c>
      <c r="I290" s="255"/>
      <c r="J290" s="126"/>
      <c r="K290" s="114"/>
      <c r="L290" s="105"/>
      <c r="M290" s="191"/>
      <c r="N290" s="191"/>
    </row>
    <row r="291" spans="1:14">
      <c r="A291" s="125" t="s">
        <v>252</v>
      </c>
      <c r="C291" s="57">
        <v>0</v>
      </c>
      <c r="E291" s="54">
        <v>8.26</v>
      </c>
      <c r="F291" s="126"/>
      <c r="G291" s="114">
        <v>0</v>
      </c>
      <c r="I291" s="255"/>
      <c r="J291" s="126"/>
      <c r="K291" s="114"/>
      <c r="L291" s="105"/>
      <c r="M291" s="191"/>
      <c r="N291" s="191"/>
    </row>
    <row r="292" spans="1:14">
      <c r="A292" s="125" t="s">
        <v>231</v>
      </c>
      <c r="C292" s="57">
        <v>5284</v>
      </c>
      <c r="E292" s="54">
        <v>9.59</v>
      </c>
      <c r="F292" s="126"/>
      <c r="G292" s="114">
        <v>50674</v>
      </c>
      <c r="I292" s="255"/>
      <c r="J292" s="126"/>
      <c r="K292" s="114"/>
      <c r="L292" s="105"/>
      <c r="M292" s="191"/>
      <c r="N292" s="191"/>
    </row>
    <row r="293" spans="1:14">
      <c r="A293" s="125" t="s">
        <v>253</v>
      </c>
      <c r="C293" s="57">
        <v>0</v>
      </c>
      <c r="E293" s="54">
        <v>8.16</v>
      </c>
      <c r="F293" s="126"/>
      <c r="G293" s="114">
        <v>0</v>
      </c>
      <c r="I293" s="255"/>
      <c r="J293" s="126"/>
      <c r="K293" s="114"/>
      <c r="L293" s="105"/>
      <c r="M293" s="191"/>
      <c r="N293" s="191"/>
    </row>
    <row r="294" spans="1:14">
      <c r="A294" s="125" t="s">
        <v>254</v>
      </c>
      <c r="C294" s="57">
        <v>107</v>
      </c>
      <c r="E294" s="54">
        <v>11.93</v>
      </c>
      <c r="F294" s="126"/>
      <c r="G294" s="114">
        <v>1277</v>
      </c>
      <c r="I294" s="255"/>
      <c r="J294" s="126"/>
      <c r="K294" s="114"/>
      <c r="L294" s="105"/>
      <c r="M294" s="191"/>
      <c r="N294" s="191"/>
    </row>
    <row r="295" spans="1:14">
      <c r="A295" s="125" t="s">
        <v>232</v>
      </c>
      <c r="C295" s="57">
        <v>9005</v>
      </c>
      <c r="E295" s="54">
        <v>14</v>
      </c>
      <c r="F295" s="126"/>
      <c r="G295" s="114">
        <v>126070</v>
      </c>
      <c r="I295" s="255"/>
      <c r="J295" s="126"/>
      <c r="K295" s="114"/>
      <c r="L295" s="105"/>
      <c r="M295" s="191"/>
      <c r="N295" s="191"/>
    </row>
    <row r="296" spans="1:14">
      <c r="A296" s="149" t="s">
        <v>255</v>
      </c>
      <c r="B296" s="109"/>
      <c r="C296" s="57">
        <v>0</v>
      </c>
      <c r="E296" s="126">
        <v>11.89</v>
      </c>
      <c r="F296" s="126"/>
      <c r="G296" s="114">
        <v>0</v>
      </c>
      <c r="I296" s="262"/>
      <c r="J296" s="126"/>
      <c r="K296" s="147"/>
      <c r="L296" s="105"/>
      <c r="M296" s="191"/>
      <c r="N296" s="191"/>
    </row>
    <row r="297" spans="1:14">
      <c r="A297" s="125" t="s">
        <v>256</v>
      </c>
      <c r="C297" s="57">
        <v>156</v>
      </c>
      <c r="E297" s="54">
        <v>15.56</v>
      </c>
      <c r="F297" s="126"/>
      <c r="G297" s="114">
        <v>2427</v>
      </c>
      <c r="I297" s="255"/>
      <c r="J297" s="126"/>
      <c r="K297" s="114"/>
      <c r="L297" s="105"/>
      <c r="M297" s="191"/>
      <c r="N297" s="191"/>
    </row>
    <row r="298" spans="1:14">
      <c r="A298" s="125" t="s">
        <v>197</v>
      </c>
      <c r="C298" s="130">
        <v>0</v>
      </c>
      <c r="E298" s="126">
        <v>26.38</v>
      </c>
      <c r="F298" s="126"/>
      <c r="G298" s="114">
        <v>0</v>
      </c>
      <c r="I298" s="262"/>
      <c r="J298" s="126"/>
      <c r="K298" s="147"/>
      <c r="L298" s="105"/>
      <c r="M298" s="191"/>
      <c r="N298" s="191"/>
    </row>
    <row r="299" spans="1:14">
      <c r="A299" s="175" t="s">
        <v>233</v>
      </c>
      <c r="C299" s="57"/>
      <c r="E299" s="54"/>
      <c r="F299" s="126"/>
      <c r="I299" s="255"/>
      <c r="J299" s="126"/>
      <c r="L299" s="105"/>
      <c r="M299" s="191"/>
      <c r="N299" s="191"/>
    </row>
    <row r="300" spans="1:14">
      <c r="A300" s="125" t="s">
        <v>257</v>
      </c>
      <c r="C300" s="57">
        <v>458</v>
      </c>
      <c r="E300" s="54">
        <v>9.19</v>
      </c>
      <c r="F300" s="126"/>
      <c r="G300" s="114">
        <v>4209</v>
      </c>
      <c r="I300" s="255"/>
      <c r="J300" s="126"/>
      <c r="K300" s="114"/>
      <c r="L300" s="105"/>
      <c r="M300" s="191"/>
      <c r="N300" s="191"/>
    </row>
    <row r="301" spans="1:14">
      <c r="A301" s="125" t="s">
        <v>235</v>
      </c>
      <c r="C301" s="57">
        <v>943</v>
      </c>
      <c r="E301" s="54">
        <v>13.57</v>
      </c>
      <c r="F301" s="126"/>
      <c r="G301" s="114">
        <v>12797</v>
      </c>
      <c r="I301" s="255"/>
      <c r="J301" s="126"/>
      <c r="K301" s="114"/>
      <c r="L301" s="105"/>
      <c r="M301" s="191"/>
      <c r="N301" s="191"/>
    </row>
    <row r="302" spans="1:14">
      <c r="A302" s="125" t="s">
        <v>258</v>
      </c>
      <c r="C302" s="57">
        <v>0</v>
      </c>
      <c r="E302" s="54">
        <v>11.54</v>
      </c>
      <c r="F302" s="126"/>
      <c r="G302" s="114">
        <v>0</v>
      </c>
      <c r="I302" s="255"/>
      <c r="J302" s="126"/>
      <c r="K302" s="114"/>
      <c r="L302" s="105"/>
      <c r="M302" s="191"/>
      <c r="N302" s="191"/>
    </row>
    <row r="303" spans="1:14">
      <c r="A303" s="125" t="s">
        <v>259</v>
      </c>
      <c r="C303" s="57">
        <v>642</v>
      </c>
      <c r="E303" s="54">
        <v>11.09</v>
      </c>
      <c r="F303" s="126"/>
      <c r="G303" s="114">
        <v>7120</v>
      </c>
      <c r="I303" s="255"/>
      <c r="J303" s="126"/>
      <c r="K303" s="114"/>
      <c r="L303" s="105"/>
      <c r="M303" s="191"/>
      <c r="N303" s="191"/>
    </row>
    <row r="304" spans="1:14">
      <c r="A304" s="125" t="s">
        <v>236</v>
      </c>
      <c r="C304" s="57">
        <v>575</v>
      </c>
      <c r="E304" s="54">
        <v>13.71</v>
      </c>
      <c r="F304" s="126"/>
      <c r="G304" s="114">
        <v>7883</v>
      </c>
      <c r="I304" s="255"/>
      <c r="J304" s="126"/>
      <c r="K304" s="114"/>
      <c r="L304" s="105"/>
      <c r="M304" s="191"/>
      <c r="N304" s="191"/>
    </row>
    <row r="305" spans="1:14">
      <c r="A305" s="125" t="s">
        <v>260</v>
      </c>
      <c r="C305" s="57">
        <v>4421</v>
      </c>
      <c r="E305" s="54">
        <v>14.13</v>
      </c>
      <c r="F305" s="126"/>
      <c r="G305" s="114">
        <v>62469</v>
      </c>
      <c r="I305" s="255"/>
      <c r="J305" s="126"/>
      <c r="K305" s="114"/>
      <c r="L305" s="105"/>
      <c r="M305" s="191"/>
      <c r="N305" s="191"/>
    </row>
    <row r="306" spans="1:14">
      <c r="A306" s="125" t="s">
        <v>237</v>
      </c>
      <c r="C306" s="57">
        <v>397</v>
      </c>
      <c r="E306" s="54">
        <v>14.58</v>
      </c>
      <c r="F306" s="126"/>
      <c r="G306" s="114">
        <v>5788</v>
      </c>
      <c r="I306" s="255"/>
      <c r="J306" s="126"/>
      <c r="K306" s="114"/>
      <c r="L306" s="105"/>
      <c r="M306" s="191"/>
      <c r="N306" s="191"/>
    </row>
    <row r="307" spans="1:14">
      <c r="A307" s="125" t="s">
        <v>261</v>
      </c>
      <c r="C307" s="130">
        <v>471</v>
      </c>
      <c r="E307" s="126">
        <v>15.79</v>
      </c>
      <c r="F307" s="126"/>
      <c r="G307" s="114">
        <v>7437</v>
      </c>
      <c r="I307" s="262"/>
      <c r="J307" s="126"/>
      <c r="K307" s="147"/>
      <c r="L307" s="105"/>
      <c r="M307" s="191"/>
      <c r="N307" s="191"/>
    </row>
    <row r="308" spans="1:14">
      <c r="A308" s="175" t="s">
        <v>262</v>
      </c>
      <c r="C308" s="57"/>
      <c r="E308" s="54"/>
      <c r="F308" s="126"/>
      <c r="G308" s="114"/>
      <c r="I308" s="255"/>
      <c r="J308" s="126"/>
      <c r="K308" s="114"/>
      <c r="L308" s="105"/>
      <c r="M308" s="191"/>
      <c r="N308" s="191"/>
    </row>
    <row r="309" spans="1:14">
      <c r="A309" s="125" t="s">
        <v>263</v>
      </c>
      <c r="C309" s="57">
        <v>3</v>
      </c>
      <c r="E309" s="54">
        <v>3.75</v>
      </c>
      <c r="F309" s="126"/>
      <c r="G309" s="114">
        <v>11</v>
      </c>
      <c r="I309" s="255"/>
      <c r="J309" s="126"/>
      <c r="K309" s="114"/>
      <c r="L309" s="105"/>
      <c r="M309" s="191"/>
      <c r="N309" s="191"/>
    </row>
    <row r="310" spans="1:14">
      <c r="A310" s="125" t="s">
        <v>264</v>
      </c>
      <c r="C310" s="57">
        <v>68</v>
      </c>
      <c r="E310" s="54">
        <v>13.92</v>
      </c>
      <c r="F310" s="126"/>
      <c r="G310" s="114">
        <v>947</v>
      </c>
      <c r="I310" s="255"/>
      <c r="J310" s="126"/>
      <c r="K310" s="114"/>
      <c r="L310" s="105"/>
      <c r="M310" s="191"/>
      <c r="N310" s="191"/>
    </row>
    <row r="311" spans="1:14">
      <c r="A311" s="175" t="s">
        <v>239</v>
      </c>
      <c r="C311" s="130">
        <v>4499863</v>
      </c>
      <c r="E311" s="54"/>
      <c r="F311" s="136"/>
      <c r="G311" s="147">
        <v>561767</v>
      </c>
      <c r="I311" s="268"/>
      <c r="J311" s="126"/>
      <c r="K311" s="147"/>
      <c r="L311" s="105"/>
      <c r="M311" s="191"/>
      <c r="N311" s="191"/>
    </row>
    <row r="312" spans="1:14">
      <c r="A312" s="175" t="s">
        <v>149</v>
      </c>
      <c r="C312" s="130"/>
      <c r="E312" s="54"/>
      <c r="F312" s="136"/>
      <c r="G312" s="147"/>
      <c r="I312" s="268"/>
      <c r="J312" s="126"/>
      <c r="K312" s="147"/>
      <c r="L312" s="105"/>
      <c r="M312" s="191"/>
      <c r="N312" s="191"/>
    </row>
    <row r="313" spans="1:14">
      <c r="A313" s="175" t="s">
        <v>224</v>
      </c>
      <c r="C313" s="130">
        <v>4499863</v>
      </c>
      <c r="E313" s="54"/>
      <c r="F313" s="136"/>
      <c r="G313" s="147">
        <v>561767</v>
      </c>
      <c r="I313" s="268"/>
      <c r="J313" s="126"/>
      <c r="K313" s="147"/>
      <c r="L313" s="105"/>
      <c r="M313" s="191"/>
      <c r="N313" s="191"/>
    </row>
    <row r="314" spans="1:14">
      <c r="A314" s="175" t="s">
        <v>240</v>
      </c>
      <c r="C314" s="130">
        <v>234.58333333333334</v>
      </c>
      <c r="E314" s="199"/>
      <c r="F314" s="136"/>
      <c r="G314" s="147"/>
      <c r="I314" s="268"/>
      <c r="J314" s="126"/>
      <c r="K314" s="147"/>
      <c r="L314" s="105"/>
      <c r="M314" s="191"/>
      <c r="N314" s="191"/>
    </row>
    <row r="315" spans="1:14">
      <c r="A315" s="200" t="s">
        <v>265</v>
      </c>
      <c r="C315" s="57"/>
      <c r="E315" s="54"/>
      <c r="F315" s="126"/>
      <c r="I315" s="255"/>
      <c r="J315" s="126"/>
      <c r="L315" s="105"/>
      <c r="M315" s="191"/>
      <c r="N315" s="191"/>
    </row>
    <row r="316" spans="1:14">
      <c r="A316" s="175" t="s">
        <v>242</v>
      </c>
      <c r="C316" s="57"/>
      <c r="E316" s="54"/>
      <c r="F316" s="126"/>
      <c r="G316" s="114"/>
      <c r="I316" s="255"/>
      <c r="J316" s="126"/>
      <c r="K316" s="114"/>
      <c r="L316" s="105"/>
      <c r="M316" s="191"/>
      <c r="N316" s="191"/>
    </row>
    <row r="317" spans="1:14">
      <c r="A317" s="125" t="s">
        <v>218</v>
      </c>
      <c r="C317" s="57">
        <v>32</v>
      </c>
      <c r="E317" s="54">
        <v>17.73</v>
      </c>
      <c r="F317" s="126"/>
      <c r="G317" s="114">
        <v>567</v>
      </c>
      <c r="I317" s="255"/>
      <c r="J317" s="126"/>
      <c r="K317" s="114"/>
      <c r="L317" s="105"/>
      <c r="M317" s="191"/>
      <c r="N317" s="191"/>
    </row>
    <row r="318" spans="1:14">
      <c r="A318" s="125" t="s">
        <v>212</v>
      </c>
      <c r="C318" s="57">
        <v>11</v>
      </c>
      <c r="E318" s="54">
        <v>23.4</v>
      </c>
      <c r="F318" s="126"/>
      <c r="G318" s="114">
        <v>257</v>
      </c>
      <c r="I318" s="255"/>
      <c r="J318" s="126"/>
      <c r="K318" s="114"/>
      <c r="L318" s="105"/>
      <c r="M318" s="191"/>
      <c r="N318" s="191"/>
    </row>
    <row r="319" spans="1:14">
      <c r="A319" s="175" t="s">
        <v>245</v>
      </c>
      <c r="C319" s="57"/>
      <c r="L319" s="105"/>
      <c r="M319" s="191"/>
      <c r="N319" s="191"/>
    </row>
    <row r="320" spans="1:14">
      <c r="A320" s="125" t="s">
        <v>122</v>
      </c>
      <c r="C320" s="57">
        <v>42</v>
      </c>
      <c r="E320" s="54">
        <v>8.0299999999999994</v>
      </c>
      <c r="F320" s="126"/>
      <c r="G320" s="114">
        <v>337</v>
      </c>
      <c r="I320" s="255"/>
      <c r="J320" s="126"/>
      <c r="K320" s="114"/>
      <c r="L320" s="105"/>
      <c r="M320" s="191"/>
      <c r="N320" s="191"/>
    </row>
    <row r="321" spans="1:14">
      <c r="A321" s="125" t="s">
        <v>124</v>
      </c>
      <c r="C321" s="57">
        <v>0</v>
      </c>
      <c r="E321" s="54">
        <v>15.3</v>
      </c>
      <c r="F321" s="126"/>
      <c r="G321" s="114">
        <v>0</v>
      </c>
      <c r="I321" s="255"/>
      <c r="J321" s="126"/>
      <c r="K321" s="114"/>
      <c r="L321" s="105"/>
      <c r="M321" s="191"/>
      <c r="N321" s="191"/>
    </row>
    <row r="322" spans="1:14">
      <c r="A322" s="125" t="s">
        <v>246</v>
      </c>
      <c r="C322" s="57">
        <v>85</v>
      </c>
      <c r="E322" s="126">
        <v>32.479999999999997</v>
      </c>
      <c r="F322" s="126"/>
      <c r="G322" s="114">
        <v>2761</v>
      </c>
      <c r="I322" s="262"/>
      <c r="J322" s="126"/>
      <c r="K322" s="147"/>
      <c r="L322" s="105"/>
      <c r="M322" s="191"/>
      <c r="N322" s="191"/>
    </row>
    <row r="323" spans="1:14" ht="14.25" customHeight="1">
      <c r="A323" s="175" t="s">
        <v>266</v>
      </c>
      <c r="C323" s="57"/>
      <c r="E323" s="146"/>
      <c r="F323" s="145"/>
      <c r="G323" s="114"/>
      <c r="I323" s="256"/>
      <c r="J323" s="145"/>
      <c r="K323" s="114"/>
      <c r="L323" s="105"/>
      <c r="M323" s="191"/>
      <c r="N323" s="191"/>
    </row>
    <row r="324" spans="1:14">
      <c r="A324" s="125" t="s">
        <v>228</v>
      </c>
      <c r="C324" s="57">
        <v>5268</v>
      </c>
      <c r="E324" s="54">
        <v>4.68</v>
      </c>
      <c r="F324" s="126"/>
      <c r="G324" s="114">
        <v>24654</v>
      </c>
      <c r="I324" s="255"/>
      <c r="J324" s="126"/>
      <c r="K324" s="114"/>
      <c r="L324" s="105"/>
      <c r="M324" s="191"/>
      <c r="N324" s="191"/>
    </row>
    <row r="325" spans="1:14">
      <c r="A325" s="125" t="s">
        <v>229</v>
      </c>
      <c r="C325" s="57">
        <v>16472</v>
      </c>
      <c r="E325" s="54">
        <v>6.16</v>
      </c>
      <c r="F325" s="126"/>
      <c r="G325" s="114">
        <v>101468</v>
      </c>
      <c r="I325" s="255"/>
      <c r="J325" s="126"/>
      <c r="K325" s="114"/>
      <c r="L325" s="105"/>
      <c r="M325" s="191"/>
      <c r="N325" s="191"/>
    </row>
    <row r="326" spans="1:14">
      <c r="A326" s="125" t="s">
        <v>267</v>
      </c>
      <c r="C326" s="57">
        <v>0</v>
      </c>
      <c r="E326" s="54">
        <v>5.55</v>
      </c>
      <c r="F326" s="126"/>
      <c r="G326" s="114">
        <v>0</v>
      </c>
      <c r="I326" s="255"/>
      <c r="J326" s="126"/>
      <c r="K326" s="114"/>
      <c r="L326" s="105"/>
      <c r="M326" s="191"/>
      <c r="N326" s="191"/>
    </row>
    <row r="327" spans="1:14">
      <c r="A327" s="125" t="s">
        <v>230</v>
      </c>
      <c r="C327" s="57">
        <v>5387</v>
      </c>
      <c r="E327" s="54">
        <v>7.47</v>
      </c>
      <c r="F327" s="126"/>
      <c r="G327" s="114">
        <v>40241</v>
      </c>
      <c r="I327" s="255"/>
      <c r="J327" s="126"/>
      <c r="K327" s="114"/>
      <c r="L327" s="105"/>
      <c r="M327" s="191"/>
      <c r="N327" s="191"/>
    </row>
    <row r="328" spans="1:14">
      <c r="A328" s="125" t="s">
        <v>268</v>
      </c>
      <c r="C328" s="57">
        <v>0</v>
      </c>
      <c r="E328" s="54">
        <v>6.72</v>
      </c>
      <c r="F328" s="126"/>
      <c r="G328" s="114">
        <v>0</v>
      </c>
      <c r="I328" s="255"/>
      <c r="J328" s="126"/>
      <c r="K328" s="114"/>
      <c r="L328" s="105"/>
      <c r="M328" s="191"/>
      <c r="N328" s="191"/>
    </row>
    <row r="329" spans="1:14">
      <c r="A329" s="125" t="s">
        <v>132</v>
      </c>
      <c r="C329" s="57">
        <v>0</v>
      </c>
      <c r="E329" s="54">
        <v>9.44</v>
      </c>
      <c r="F329" s="126"/>
      <c r="G329" s="114">
        <v>0</v>
      </c>
      <c r="I329" s="255"/>
      <c r="J329" s="126"/>
      <c r="K329" s="114"/>
      <c r="L329" s="105"/>
      <c r="M329" s="191"/>
      <c r="N329" s="191"/>
    </row>
    <row r="330" spans="1:14">
      <c r="A330" s="125" t="s">
        <v>231</v>
      </c>
      <c r="C330" s="57">
        <v>3409</v>
      </c>
      <c r="E330" s="54">
        <v>10.99</v>
      </c>
      <c r="F330" s="126"/>
      <c r="G330" s="114">
        <v>37465</v>
      </c>
      <c r="I330" s="255"/>
      <c r="J330" s="126"/>
      <c r="K330" s="114"/>
      <c r="L330" s="105"/>
      <c r="M330" s="191"/>
      <c r="N330" s="191"/>
    </row>
    <row r="331" spans="1:14">
      <c r="A331" s="125" t="s">
        <v>232</v>
      </c>
      <c r="C331" s="57">
        <v>2395</v>
      </c>
      <c r="E331" s="54">
        <v>16.02</v>
      </c>
      <c r="F331" s="126"/>
      <c r="G331" s="114">
        <v>38368</v>
      </c>
      <c r="I331" s="255"/>
      <c r="J331" s="126"/>
      <c r="K331" s="114"/>
      <c r="L331" s="105"/>
      <c r="M331" s="191"/>
      <c r="N331" s="191"/>
    </row>
    <row r="332" spans="1:14">
      <c r="A332" s="125" t="s">
        <v>269</v>
      </c>
      <c r="C332" s="57">
        <v>0</v>
      </c>
      <c r="E332" s="126">
        <v>14.42</v>
      </c>
      <c r="F332" s="145"/>
      <c r="G332" s="114">
        <v>0</v>
      </c>
      <c r="I332" s="262"/>
      <c r="J332" s="145"/>
      <c r="K332" s="147"/>
      <c r="L332" s="105"/>
      <c r="M332" s="191"/>
      <c r="N332" s="191"/>
    </row>
    <row r="333" spans="1:14">
      <c r="A333" s="175" t="s">
        <v>233</v>
      </c>
      <c r="C333" s="57"/>
      <c r="L333" s="105"/>
      <c r="M333" s="191"/>
      <c r="N333" s="191"/>
    </row>
    <row r="334" spans="1:14">
      <c r="A334" s="125" t="s">
        <v>235</v>
      </c>
      <c r="C334" s="57">
        <v>1064</v>
      </c>
      <c r="E334" s="54">
        <v>15.58</v>
      </c>
      <c r="F334" s="126"/>
      <c r="G334" s="114">
        <v>16577</v>
      </c>
      <c r="I334" s="255"/>
      <c r="J334" s="126"/>
      <c r="K334" s="114"/>
      <c r="L334" s="105"/>
      <c r="M334" s="191"/>
      <c r="N334" s="191"/>
    </row>
    <row r="335" spans="1:14">
      <c r="A335" s="125" t="s">
        <v>236</v>
      </c>
      <c r="C335" s="57">
        <v>628</v>
      </c>
      <c r="E335" s="54">
        <v>15.73</v>
      </c>
      <c r="F335" s="126"/>
      <c r="G335" s="114">
        <v>9878</v>
      </c>
      <c r="I335" s="255"/>
      <c r="J335" s="126"/>
      <c r="K335" s="114"/>
      <c r="L335" s="105"/>
      <c r="M335" s="191"/>
      <c r="N335" s="191"/>
    </row>
    <row r="336" spans="1:14">
      <c r="A336" s="125" t="s">
        <v>237</v>
      </c>
      <c r="C336" s="57">
        <v>853</v>
      </c>
      <c r="E336" s="54">
        <v>16.72</v>
      </c>
      <c r="F336" s="126"/>
      <c r="G336" s="114">
        <v>14262</v>
      </c>
      <c r="I336" s="255"/>
      <c r="J336" s="126"/>
      <c r="K336" s="114"/>
      <c r="L336" s="105"/>
      <c r="M336" s="191"/>
      <c r="N336" s="191"/>
    </row>
    <row r="337" spans="1:14">
      <c r="A337" s="125" t="s">
        <v>270</v>
      </c>
      <c r="C337" s="57">
        <v>85</v>
      </c>
      <c r="E337" s="201">
        <v>33.049999999999997</v>
      </c>
      <c r="F337" s="126"/>
      <c r="G337" s="180">
        <v>2809</v>
      </c>
      <c r="I337" s="269"/>
      <c r="J337" s="126"/>
      <c r="K337" s="154"/>
      <c r="L337" s="105"/>
      <c r="M337" s="191"/>
      <c r="N337" s="191"/>
    </row>
    <row r="338" spans="1:14">
      <c r="A338" s="175" t="s">
        <v>239</v>
      </c>
      <c r="C338" s="130">
        <v>2114324</v>
      </c>
      <c r="E338" s="126"/>
      <c r="F338" s="136"/>
      <c r="G338" s="147">
        <v>289644</v>
      </c>
      <c r="I338" s="268"/>
      <c r="J338" s="126"/>
      <c r="K338" s="147"/>
      <c r="L338" s="105"/>
      <c r="M338" s="191"/>
      <c r="N338" s="191"/>
    </row>
    <row r="339" spans="1:14">
      <c r="A339" s="175" t="s">
        <v>149</v>
      </c>
      <c r="C339" s="130"/>
      <c r="E339" s="126"/>
      <c r="F339" s="136"/>
      <c r="G339" s="147"/>
      <c r="I339" s="268"/>
      <c r="J339" s="126"/>
      <c r="K339" s="147"/>
      <c r="L339" s="105"/>
      <c r="M339" s="191"/>
      <c r="N339" s="191"/>
    </row>
    <row r="340" spans="1:14">
      <c r="A340" s="175" t="s">
        <v>224</v>
      </c>
      <c r="C340" s="130">
        <v>2114324</v>
      </c>
      <c r="E340" s="126"/>
      <c r="F340" s="136"/>
      <c r="G340" s="147">
        <v>289644</v>
      </c>
      <c r="I340" s="268"/>
      <c r="J340" s="126"/>
      <c r="K340" s="147"/>
      <c r="L340" s="105"/>
      <c r="M340" s="191"/>
      <c r="N340" s="191"/>
    </row>
    <row r="341" spans="1:14">
      <c r="A341" s="175" t="s">
        <v>240</v>
      </c>
      <c r="C341" s="130">
        <v>102.33333333333333</v>
      </c>
      <c r="E341" s="199"/>
      <c r="F341" s="136"/>
      <c r="G341" s="147"/>
      <c r="I341" s="268"/>
      <c r="J341" s="126"/>
      <c r="K341" s="147"/>
      <c r="L341" s="105"/>
      <c r="M341" s="191"/>
      <c r="N341" s="191"/>
    </row>
    <row r="342" spans="1:14">
      <c r="A342" s="125"/>
      <c r="C342" s="58"/>
      <c r="E342" s="126"/>
      <c r="F342" s="126"/>
      <c r="G342" s="147"/>
      <c r="I342" s="262"/>
      <c r="J342" s="126"/>
      <c r="K342" s="154"/>
      <c r="L342" s="105"/>
      <c r="M342" s="191"/>
      <c r="N342" s="191"/>
    </row>
    <row r="343" spans="1:14">
      <c r="A343" s="125" t="s">
        <v>271</v>
      </c>
      <c r="C343" s="194">
        <v>55429429</v>
      </c>
      <c r="E343" s="189"/>
      <c r="G343" s="154">
        <v>4058813</v>
      </c>
      <c r="I343" s="265"/>
      <c r="K343" s="154"/>
      <c r="L343" s="155"/>
      <c r="M343" s="191"/>
      <c r="N343" s="191"/>
    </row>
    <row r="344" spans="1:14">
      <c r="A344" s="125" t="s">
        <v>8</v>
      </c>
      <c r="C344" s="120">
        <v>781.66666666666674</v>
      </c>
      <c r="L344" s="155"/>
      <c r="M344" s="191"/>
      <c r="N344" s="191"/>
    </row>
    <row r="345" spans="1:14">
      <c r="A345" s="125" t="s">
        <v>149</v>
      </c>
      <c r="C345" s="194"/>
      <c r="E345" s="189"/>
      <c r="G345" s="154">
        <v>0</v>
      </c>
      <c r="I345" s="265"/>
      <c r="K345" s="154"/>
      <c r="L345" s="105"/>
      <c r="M345" s="191"/>
      <c r="N345" s="191"/>
    </row>
    <row r="346" spans="1:14" ht="16.5" thickBot="1">
      <c r="A346" s="125" t="s">
        <v>224</v>
      </c>
      <c r="C346" s="193">
        <v>55429429</v>
      </c>
      <c r="E346" s="195"/>
      <c r="F346" s="196"/>
      <c r="G346" s="195">
        <v>4058813</v>
      </c>
      <c r="I346" s="267"/>
      <c r="J346" s="196"/>
      <c r="K346" s="195">
        <f>K345+K343</f>
        <v>0</v>
      </c>
      <c r="L346" s="105"/>
      <c r="M346" s="161"/>
      <c r="N346" s="191"/>
    </row>
    <row r="347" spans="1:14" ht="16.5" thickTop="1">
      <c r="A347" s="125"/>
      <c r="C347" s="202"/>
      <c r="E347" s="109"/>
      <c r="G347" s="147"/>
      <c r="I347" s="270"/>
      <c r="K347" s="147"/>
      <c r="L347" s="105"/>
      <c r="M347" s="191"/>
      <c r="N347" s="191"/>
    </row>
    <row r="348" spans="1:14">
      <c r="A348" s="200" t="s">
        <v>272</v>
      </c>
      <c r="C348" s="57"/>
      <c r="L348" s="114"/>
      <c r="M348" s="191"/>
      <c r="N348" s="191"/>
    </row>
    <row r="349" spans="1:14">
      <c r="A349" s="125" t="s">
        <v>273</v>
      </c>
      <c r="C349" s="57">
        <v>20558</v>
      </c>
      <c r="E349" s="54">
        <v>11</v>
      </c>
      <c r="F349" s="126"/>
      <c r="G349" s="114">
        <v>226138</v>
      </c>
      <c r="I349" s="255"/>
      <c r="J349" s="126"/>
      <c r="K349" s="114"/>
      <c r="L349" s="114"/>
      <c r="M349" s="127" t="s">
        <v>72</v>
      </c>
      <c r="N349" s="128">
        <f>K355</f>
        <v>0</v>
      </c>
    </row>
    <row r="350" spans="1:14">
      <c r="A350" s="125" t="s">
        <v>274</v>
      </c>
      <c r="C350" s="57">
        <v>531</v>
      </c>
      <c r="E350" s="54">
        <v>72.5</v>
      </c>
      <c r="F350" s="126"/>
      <c r="G350" s="114">
        <v>38498</v>
      </c>
      <c r="I350" s="255"/>
      <c r="J350" s="126"/>
      <c r="K350" s="114"/>
      <c r="L350" s="114"/>
      <c r="M350" s="131" t="s">
        <v>74</v>
      </c>
      <c r="N350" s="132">
        <f>(RateSpread!M44)*1000</f>
        <v>0</v>
      </c>
    </row>
    <row r="351" spans="1:14">
      <c r="A351" s="125" t="s">
        <v>275</v>
      </c>
      <c r="C351" s="57">
        <v>0</v>
      </c>
      <c r="E351" s="54">
        <v>127.5</v>
      </c>
      <c r="F351" s="126"/>
      <c r="G351" s="114">
        <v>0</v>
      </c>
      <c r="I351" s="255"/>
      <c r="J351" s="126"/>
      <c r="K351" s="114"/>
      <c r="L351" s="105"/>
      <c r="M351" s="133" t="s">
        <v>76</v>
      </c>
      <c r="N351" s="134">
        <f>N350-N349</f>
        <v>0</v>
      </c>
    </row>
    <row r="352" spans="1:14">
      <c r="A352" s="125" t="s">
        <v>276</v>
      </c>
      <c r="C352" s="57">
        <v>6467</v>
      </c>
      <c r="E352" s="54">
        <v>6.2</v>
      </c>
      <c r="F352" s="126"/>
      <c r="G352" s="114">
        <v>40095</v>
      </c>
      <c r="I352" s="255"/>
      <c r="J352" s="126"/>
      <c r="K352" s="114"/>
      <c r="L352" s="105"/>
      <c r="M352" s="137"/>
      <c r="N352" s="167"/>
    </row>
    <row r="353" spans="1:15">
      <c r="A353" s="125" t="s">
        <v>277</v>
      </c>
      <c r="C353" s="57">
        <v>15717486</v>
      </c>
      <c r="E353" s="184">
        <v>5.3437000000000001</v>
      </c>
      <c r="F353" s="136" t="s">
        <v>78</v>
      </c>
      <c r="G353" s="114">
        <v>839895</v>
      </c>
      <c r="I353" s="255"/>
      <c r="J353" s="136"/>
      <c r="K353" s="114"/>
      <c r="L353" s="105"/>
      <c r="M353" s="151" t="s">
        <v>81</v>
      </c>
      <c r="N353" s="170"/>
    </row>
    <row r="354" spans="1:15">
      <c r="A354" s="125" t="s">
        <v>278</v>
      </c>
      <c r="C354" s="58">
        <v>0</v>
      </c>
      <c r="G354" s="154">
        <v>0</v>
      </c>
      <c r="K354" s="154"/>
      <c r="L354" s="105"/>
      <c r="M354" s="123" t="s">
        <v>96</v>
      </c>
      <c r="N354" s="177"/>
    </row>
    <row r="355" spans="1:15" ht="16.5" thickBot="1">
      <c r="A355" s="108" t="s">
        <v>224</v>
      </c>
      <c r="C355" s="169">
        <v>15717486</v>
      </c>
      <c r="E355" s="163"/>
      <c r="G355" s="164">
        <v>1144626</v>
      </c>
      <c r="I355" s="263"/>
      <c r="K355" s="164">
        <f>SUM(K349:K354)</f>
        <v>0</v>
      </c>
      <c r="L355" s="105"/>
      <c r="M355" s="161"/>
      <c r="N355" s="191"/>
    </row>
    <row r="356" spans="1:15" ht="16.5" thickTop="1">
      <c r="C356" s="57"/>
      <c r="L356" s="105"/>
      <c r="M356" s="191"/>
      <c r="N356" s="191"/>
    </row>
    <row r="357" spans="1:15">
      <c r="A357" s="200" t="s">
        <v>279</v>
      </c>
      <c r="C357" s="57"/>
      <c r="E357" s="109"/>
      <c r="G357" s="147"/>
      <c r="I357" s="270"/>
      <c r="K357" s="147"/>
      <c r="L357" s="105"/>
      <c r="M357" s="127" t="s">
        <v>72</v>
      </c>
      <c r="N357" s="128">
        <f>K361</f>
        <v>10076</v>
      </c>
    </row>
    <row r="358" spans="1:15">
      <c r="A358" s="125" t="s">
        <v>280</v>
      </c>
      <c r="C358" s="57">
        <v>29744</v>
      </c>
      <c r="E358" s="54">
        <v>5</v>
      </c>
      <c r="F358" s="126"/>
      <c r="G358" s="114">
        <v>148720</v>
      </c>
      <c r="I358" s="255"/>
      <c r="J358" s="126"/>
      <c r="K358" s="114"/>
      <c r="L358" s="105"/>
      <c r="M358" s="131" t="s">
        <v>74</v>
      </c>
      <c r="N358" s="132">
        <f>(RateSpread!M45)*1000</f>
        <v>10083.701573054888</v>
      </c>
    </row>
    <row r="359" spans="1:15">
      <c r="A359" s="125" t="s">
        <v>277</v>
      </c>
      <c r="C359" s="57">
        <v>5662763</v>
      </c>
      <c r="E359" s="185">
        <v>7.7024999999999997</v>
      </c>
      <c r="F359" s="136" t="s">
        <v>78</v>
      </c>
      <c r="G359" s="114">
        <v>436174</v>
      </c>
      <c r="I359" s="255">
        <f>N361</f>
        <v>2.3099999999999999E-2</v>
      </c>
      <c r="J359" s="136"/>
      <c r="K359" s="114">
        <f>ROUND(G359*I359,0)</f>
        <v>10076</v>
      </c>
      <c r="L359" s="105"/>
      <c r="M359" s="133" t="s">
        <v>76</v>
      </c>
      <c r="N359" s="134">
        <f>N358-N357</f>
        <v>7.7015730548882857</v>
      </c>
      <c r="O359" s="255">
        <f>K359/G359</f>
        <v>2.3100872587545337E-2</v>
      </c>
    </row>
    <row r="360" spans="1:15">
      <c r="A360" s="125" t="s">
        <v>278</v>
      </c>
      <c r="C360" s="58">
        <v>0</v>
      </c>
      <c r="G360" s="154">
        <v>0</v>
      </c>
      <c r="K360" s="154"/>
      <c r="L360" s="114"/>
      <c r="M360" s="137"/>
      <c r="N360" s="167"/>
    </row>
    <row r="361" spans="1:15" ht="16.5" thickBot="1">
      <c r="A361" s="108" t="s">
        <v>224</v>
      </c>
      <c r="C361" s="169">
        <v>5662763</v>
      </c>
      <c r="E361" s="163"/>
      <c r="G361" s="164">
        <v>584894</v>
      </c>
      <c r="I361" s="263"/>
      <c r="K361" s="164">
        <f>SUM(K358:K360)</f>
        <v>10076</v>
      </c>
      <c r="L361" s="105"/>
      <c r="M361" s="151" t="s">
        <v>81</v>
      </c>
      <c r="N361" s="170">
        <f>ROUND(N358/G359,4)</f>
        <v>2.3099999999999999E-2</v>
      </c>
    </row>
    <row r="362" spans="1:15" ht="16.5" thickTop="1">
      <c r="A362" s="125"/>
      <c r="C362" s="57"/>
      <c r="E362" s="121"/>
      <c r="F362" s="204"/>
      <c r="G362" s="147"/>
      <c r="I362" s="121"/>
      <c r="J362" s="204"/>
      <c r="K362" s="147"/>
      <c r="L362" s="105"/>
      <c r="M362" s="105"/>
    </row>
    <row r="363" spans="1:15">
      <c r="A363" s="122" t="s">
        <v>281</v>
      </c>
      <c r="C363" s="57"/>
      <c r="L363" s="105"/>
    </row>
    <row r="364" spans="1:15">
      <c r="A364" s="205" t="s">
        <v>282</v>
      </c>
      <c r="C364" s="57"/>
      <c r="L364" s="155"/>
      <c r="M364" s="54"/>
      <c r="N364" s="165"/>
    </row>
    <row r="365" spans="1:15">
      <c r="A365" s="125" t="s">
        <v>101</v>
      </c>
      <c r="C365" s="130">
        <v>36</v>
      </c>
      <c r="E365" s="54">
        <v>110</v>
      </c>
      <c r="F365" s="126"/>
      <c r="G365" s="114">
        <v>3960</v>
      </c>
      <c r="I365" s="255"/>
      <c r="J365" s="126"/>
      <c r="K365" s="114"/>
      <c r="L365" s="105"/>
      <c r="N365" s="165"/>
    </row>
    <row r="366" spans="1:15">
      <c r="A366" s="125" t="s">
        <v>283</v>
      </c>
      <c r="C366" s="130">
        <v>9527</v>
      </c>
      <c r="E366" s="54">
        <v>3.75</v>
      </c>
      <c r="F366" s="126"/>
      <c r="G366" s="114">
        <v>35726</v>
      </c>
      <c r="I366" s="255"/>
      <c r="J366" s="126"/>
      <c r="K366" s="114"/>
      <c r="L366" s="114"/>
      <c r="N366" s="165"/>
      <c r="O366" s="57"/>
    </row>
    <row r="367" spans="1:15">
      <c r="A367" s="125" t="s">
        <v>284</v>
      </c>
      <c r="C367" s="130">
        <v>491863</v>
      </c>
      <c r="E367" s="206">
        <v>5.9694000000000003</v>
      </c>
      <c r="F367" s="136" t="s">
        <v>78</v>
      </c>
      <c r="G367" s="114">
        <v>29361</v>
      </c>
      <c r="I367" s="271">
        <f>$N$376</f>
        <v>4.3499999999999997E-2</v>
      </c>
      <c r="J367" s="136"/>
      <c r="K367" s="114">
        <f>ROUND(G367*I367,0)</f>
        <v>1277</v>
      </c>
      <c r="N367" s="165"/>
      <c r="O367" s="255">
        <f t="shared" ref="O367:O368" si="40">K367/G367</f>
        <v>4.3493069037158133E-2</v>
      </c>
    </row>
    <row r="368" spans="1:15">
      <c r="A368" s="125" t="s">
        <v>170</v>
      </c>
      <c r="C368" s="130">
        <v>0</v>
      </c>
      <c r="E368" s="206">
        <v>5.0122999999999998</v>
      </c>
      <c r="F368" s="136" t="s">
        <v>78</v>
      </c>
      <c r="G368" s="114">
        <v>0</v>
      </c>
      <c r="I368" s="271">
        <f>$N$376</f>
        <v>4.3499999999999997E-2</v>
      </c>
      <c r="J368" s="136"/>
      <c r="K368" s="114">
        <f>ROUND(G368*I368,0)</f>
        <v>0</v>
      </c>
      <c r="L368" s="114"/>
      <c r="O368" s="255" t="e">
        <f t="shared" si="40"/>
        <v>#DIV/0!</v>
      </c>
    </row>
    <row r="369" spans="1:15">
      <c r="A369" s="125" t="s">
        <v>93</v>
      </c>
      <c r="C369" s="58">
        <v>0</v>
      </c>
      <c r="E369" s="206"/>
      <c r="F369" s="199"/>
      <c r="G369" s="154"/>
      <c r="I369" s="271"/>
      <c r="J369" s="199"/>
      <c r="K369" s="154"/>
      <c r="L369" s="114"/>
      <c r="O369" s="57"/>
    </row>
    <row r="370" spans="1:15">
      <c r="A370" s="125" t="s">
        <v>285</v>
      </c>
      <c r="C370" s="57">
        <v>491863</v>
      </c>
      <c r="E370" s="166"/>
      <c r="F370" s="172"/>
      <c r="G370" s="114">
        <v>69047</v>
      </c>
      <c r="I370" s="256"/>
      <c r="J370" s="172"/>
      <c r="K370" s="114">
        <f>SUM(K365:K369)</f>
        <v>1277</v>
      </c>
      <c r="L370" s="114"/>
      <c r="O370" s="57"/>
    </row>
    <row r="371" spans="1:15">
      <c r="A371" s="205" t="s">
        <v>286</v>
      </c>
      <c r="C371" s="130"/>
      <c r="E371" s="166"/>
      <c r="F371" s="172"/>
      <c r="I371" s="256"/>
      <c r="J371" s="172"/>
      <c r="L371" s="114"/>
      <c r="M371" s="54"/>
      <c r="N371" s="165"/>
      <c r="O371" s="57"/>
    </row>
    <row r="372" spans="1:15">
      <c r="A372" s="125" t="s">
        <v>101</v>
      </c>
      <c r="C372" s="130">
        <v>24</v>
      </c>
      <c r="E372" s="54">
        <v>110</v>
      </c>
      <c r="F372" s="126"/>
      <c r="G372" s="114">
        <v>2640</v>
      </c>
      <c r="I372" s="255"/>
      <c r="J372" s="126"/>
      <c r="K372" s="114"/>
      <c r="L372" s="147"/>
      <c r="M372" s="127" t="s">
        <v>72</v>
      </c>
      <c r="N372" s="128">
        <f>K378</f>
        <v>6855</v>
      </c>
      <c r="O372" s="57"/>
    </row>
    <row r="373" spans="1:15">
      <c r="A373" s="125" t="s">
        <v>283</v>
      </c>
      <c r="C373" s="130">
        <v>38097</v>
      </c>
      <c r="E373" s="54">
        <v>3.75</v>
      </c>
      <c r="F373" s="126"/>
      <c r="G373" s="114">
        <v>142864</v>
      </c>
      <c r="I373" s="255"/>
      <c r="J373" s="126"/>
      <c r="K373" s="114"/>
      <c r="L373" s="114"/>
      <c r="M373" s="131" t="s">
        <v>74</v>
      </c>
      <c r="N373" s="132">
        <f>RateSpread!M31*1000</f>
        <v>6856.8373092246329</v>
      </c>
    </row>
    <row r="374" spans="1:15">
      <c r="A374" s="125" t="s">
        <v>284</v>
      </c>
      <c r="C374" s="130">
        <v>2267423</v>
      </c>
      <c r="E374" s="206">
        <v>4.6963999999999997</v>
      </c>
      <c r="F374" s="136" t="s">
        <v>78</v>
      </c>
      <c r="G374" s="114">
        <v>106487</v>
      </c>
      <c r="I374" s="271">
        <f t="shared" ref="I374:I375" si="41">$N$376</f>
        <v>4.3499999999999997E-2</v>
      </c>
      <c r="J374" s="136"/>
      <c r="K374" s="114">
        <f t="shared" ref="K374:K375" si="42">ROUND(G374*I374,0)</f>
        <v>4632</v>
      </c>
      <c r="L374" s="147"/>
      <c r="M374" s="133" t="s">
        <v>76</v>
      </c>
      <c r="N374" s="134">
        <f>N373-N372</f>
        <v>1.8373092246329179</v>
      </c>
      <c r="O374" s="255">
        <f t="shared" ref="O374:O375" si="43">K374/G374</f>
        <v>4.3498267394142011E-2</v>
      </c>
    </row>
    <row r="375" spans="1:15">
      <c r="A375" s="125" t="s">
        <v>170</v>
      </c>
      <c r="C375" s="130">
        <v>528653</v>
      </c>
      <c r="E375" s="206">
        <v>4.1148999999999996</v>
      </c>
      <c r="F375" s="136" t="s">
        <v>78</v>
      </c>
      <c r="G375" s="114">
        <v>21754</v>
      </c>
      <c r="I375" s="271">
        <f t="shared" si="41"/>
        <v>4.3499999999999997E-2</v>
      </c>
      <c r="J375" s="136"/>
      <c r="K375" s="114">
        <f t="shared" si="42"/>
        <v>946</v>
      </c>
      <c r="L375" s="147"/>
      <c r="M375" s="137"/>
      <c r="N375" s="167"/>
      <c r="O375" s="255">
        <f t="shared" si="43"/>
        <v>4.3486255401305504E-2</v>
      </c>
    </row>
    <row r="376" spans="1:15">
      <c r="A376" s="125" t="s">
        <v>93</v>
      </c>
      <c r="C376" s="58">
        <v>0</v>
      </c>
      <c r="E376" s="206"/>
      <c r="F376" s="199"/>
      <c r="G376" s="154">
        <v>0</v>
      </c>
      <c r="I376" s="271"/>
      <c r="J376" s="199"/>
      <c r="K376" s="154"/>
      <c r="L376" s="147"/>
      <c r="M376" s="139" t="s">
        <v>81</v>
      </c>
      <c r="N376" s="168">
        <f>ROUND(N373/SUM(G367:G368,G374:G375),4)</f>
        <v>4.3499999999999997E-2</v>
      </c>
      <c r="O376" s="155"/>
    </row>
    <row r="377" spans="1:15">
      <c r="A377" s="125" t="s">
        <v>285</v>
      </c>
      <c r="C377" s="57">
        <v>2796076</v>
      </c>
      <c r="E377" s="166"/>
      <c r="F377" s="172"/>
      <c r="G377" s="114">
        <v>273745</v>
      </c>
      <c r="I377" s="256"/>
      <c r="J377" s="172"/>
      <c r="K377" s="114">
        <f>SUM(K372:K376)</f>
        <v>5578</v>
      </c>
      <c r="M377" s="139"/>
      <c r="N377" s="168"/>
    </row>
    <row r="378" spans="1:15" ht="16.5" thickBot="1">
      <c r="A378" s="125" t="s">
        <v>94</v>
      </c>
      <c r="C378" s="169">
        <v>3287939</v>
      </c>
      <c r="E378" s="163"/>
      <c r="G378" s="164">
        <v>342792</v>
      </c>
      <c r="I378" s="263"/>
      <c r="K378" s="164">
        <f>K377+K370</f>
        <v>6855</v>
      </c>
      <c r="M378" s="151"/>
      <c r="N378" s="170"/>
    </row>
    <row r="379" spans="1:15" ht="16.5" thickTop="1">
      <c r="C379" s="57"/>
      <c r="L379" s="114"/>
      <c r="N379" s="129"/>
      <c r="O379" s="57"/>
    </row>
    <row r="380" spans="1:15">
      <c r="A380" s="122" t="s">
        <v>287</v>
      </c>
      <c r="C380" s="57"/>
      <c r="L380" s="114"/>
      <c r="O380" s="57"/>
    </row>
    <row r="381" spans="1:15">
      <c r="A381" s="125" t="s">
        <v>101</v>
      </c>
      <c r="C381" s="57">
        <v>936624</v>
      </c>
      <c r="E381" s="54">
        <v>9</v>
      </c>
      <c r="F381" s="126"/>
      <c r="G381" s="114">
        <v>8429616</v>
      </c>
      <c r="I381" s="255"/>
      <c r="J381" s="126"/>
      <c r="K381" s="114"/>
      <c r="L381" s="114"/>
      <c r="M381" s="127" t="s">
        <v>72</v>
      </c>
      <c r="N381" s="128">
        <f>K391</f>
        <v>1943563</v>
      </c>
      <c r="O381" s="57"/>
    </row>
    <row r="382" spans="1:15">
      <c r="A382" s="125" t="s">
        <v>288</v>
      </c>
      <c r="C382" s="57">
        <v>375308</v>
      </c>
      <c r="E382" s="54">
        <v>8</v>
      </c>
      <c r="F382" s="126"/>
      <c r="G382" s="114">
        <v>3002464</v>
      </c>
      <c r="I382" s="255">
        <f>$N$385</f>
        <v>1.6E-2</v>
      </c>
      <c r="J382" s="126"/>
      <c r="K382" s="114">
        <f t="shared" ref="K382:K383" si="44">ROUND(G382*I382,0)</f>
        <v>48039</v>
      </c>
      <c r="L382" s="114"/>
      <c r="M382" s="131" t="s">
        <v>74</v>
      </c>
      <c r="N382" s="132">
        <f>RateSpread!M32*1000</f>
        <v>1935811.5196441973</v>
      </c>
      <c r="O382" s="255">
        <f t="shared" ref="O382:O383" si="45">K382/G382</f>
        <v>1.5999858782653181E-2</v>
      </c>
    </row>
    <row r="383" spans="1:15">
      <c r="A383" s="125" t="s">
        <v>289</v>
      </c>
      <c r="C383" s="57">
        <v>363172</v>
      </c>
      <c r="E383" s="54">
        <v>8.0500000000000007</v>
      </c>
      <c r="F383" s="126"/>
      <c r="G383" s="114">
        <v>2923535</v>
      </c>
      <c r="I383" s="255">
        <f>$N$385</f>
        <v>1.6E-2</v>
      </c>
      <c r="J383" s="126"/>
      <c r="K383" s="114">
        <f t="shared" si="44"/>
        <v>46777</v>
      </c>
      <c r="L383" s="114"/>
      <c r="M383" s="133" t="s">
        <v>76</v>
      </c>
      <c r="N383" s="134">
        <f>N382-N381</f>
        <v>-7751.4803558026906</v>
      </c>
      <c r="O383" s="255">
        <f t="shared" si="45"/>
        <v>1.6000150502730428E-2</v>
      </c>
    </row>
    <row r="384" spans="1:15">
      <c r="A384" s="125" t="s">
        <v>104</v>
      </c>
      <c r="C384" s="57">
        <v>9858</v>
      </c>
      <c r="E384" s="54">
        <v>-0.45</v>
      </c>
      <c r="F384" s="126"/>
      <c r="G384" s="114">
        <v>-4436</v>
      </c>
      <c r="I384" s="255"/>
      <c r="J384" s="126"/>
      <c r="K384" s="114"/>
      <c r="L384" s="114"/>
      <c r="M384" s="137"/>
      <c r="N384" s="167"/>
      <c r="O384" s="57"/>
    </row>
    <row r="385" spans="1:16">
      <c r="A385" s="125" t="s">
        <v>290</v>
      </c>
      <c r="C385" s="57">
        <v>307226245</v>
      </c>
      <c r="E385" s="143">
        <v>10.8148</v>
      </c>
      <c r="F385" s="136" t="s">
        <v>78</v>
      </c>
      <c r="G385" s="114">
        <v>33225904</v>
      </c>
      <c r="I385" s="255">
        <f t="shared" ref="I385:I388" si="46">$N$385</f>
        <v>1.6E-2</v>
      </c>
      <c r="J385" s="136"/>
      <c r="K385" s="114">
        <f t="shared" ref="K385:K388" si="47">ROUND(G385*I385,0)</f>
        <v>531614</v>
      </c>
      <c r="L385" s="114"/>
      <c r="M385" s="139" t="s">
        <v>81</v>
      </c>
      <c r="N385" s="168">
        <f>ROUND(N382/SUM(G382:G383,G385:G388),4)+N388</f>
        <v>1.6E-2</v>
      </c>
      <c r="O385" s="255">
        <f t="shared" ref="O385:O388" si="48">K385/G385</f>
        <v>1.5999986034992458E-2</v>
      </c>
    </row>
    <row r="386" spans="1:16">
      <c r="A386" s="125" t="s">
        <v>291</v>
      </c>
      <c r="C386" s="57">
        <v>310947215</v>
      </c>
      <c r="E386" s="143">
        <v>6.0632000000000001</v>
      </c>
      <c r="F386" s="136" t="s">
        <v>78</v>
      </c>
      <c r="G386" s="114">
        <v>18853352</v>
      </c>
      <c r="I386" s="255">
        <f t="shared" si="46"/>
        <v>1.6E-2</v>
      </c>
      <c r="J386" s="136"/>
      <c r="K386" s="114">
        <f t="shared" si="47"/>
        <v>301654</v>
      </c>
      <c r="L386" s="147"/>
      <c r="M386" s="139"/>
      <c r="N386" s="168"/>
      <c r="O386" s="255">
        <f t="shared" si="48"/>
        <v>1.600001951907544E-2</v>
      </c>
    </row>
    <row r="387" spans="1:16">
      <c r="A387" s="125" t="s">
        <v>292</v>
      </c>
      <c r="C387" s="57">
        <v>429169061</v>
      </c>
      <c r="E387" s="143">
        <v>9.9543999999999997</v>
      </c>
      <c r="F387" s="136" t="s">
        <v>78</v>
      </c>
      <c r="G387" s="114">
        <v>42721205</v>
      </c>
      <c r="I387" s="255">
        <f t="shared" si="46"/>
        <v>1.6E-2</v>
      </c>
      <c r="J387" s="136"/>
      <c r="K387" s="114">
        <f t="shared" si="47"/>
        <v>683539</v>
      </c>
      <c r="L387" s="147"/>
      <c r="M387" s="151"/>
      <c r="N387" s="170"/>
      <c r="O387" s="255">
        <f t="shared" si="48"/>
        <v>1.5999993445877755E-2</v>
      </c>
    </row>
    <row r="388" spans="1:16">
      <c r="A388" s="125" t="s">
        <v>293</v>
      </c>
      <c r="C388" s="57">
        <v>371983628.63277793</v>
      </c>
      <c r="E388" s="143">
        <v>5.5771999999999995</v>
      </c>
      <c r="F388" s="136" t="s">
        <v>78</v>
      </c>
      <c r="G388" s="114">
        <v>20746271</v>
      </c>
      <c r="I388" s="255">
        <f t="shared" si="46"/>
        <v>1.6E-2</v>
      </c>
      <c r="J388" s="136"/>
      <c r="K388" s="114">
        <f t="shared" si="47"/>
        <v>331940</v>
      </c>
      <c r="L388" s="147"/>
      <c r="M388" s="207" t="s">
        <v>294</v>
      </c>
      <c r="N388" s="276">
        <v>1E-4</v>
      </c>
      <c r="O388" s="255">
        <f t="shared" si="48"/>
        <v>1.5999983804318375E-2</v>
      </c>
    </row>
    <row r="389" spans="1:16">
      <c r="A389" s="125" t="s">
        <v>108</v>
      </c>
      <c r="C389" s="57">
        <v>0</v>
      </c>
      <c r="E389" s="54">
        <v>108</v>
      </c>
      <c r="F389" s="126"/>
      <c r="G389" s="114">
        <v>0</v>
      </c>
      <c r="I389" s="255"/>
      <c r="J389" s="126"/>
      <c r="K389" s="114"/>
      <c r="L389" s="147"/>
      <c r="M389" s="207" t="s">
        <v>389</v>
      </c>
      <c r="N389" s="276">
        <v>1E-4</v>
      </c>
    </row>
    <row r="390" spans="1:16">
      <c r="A390" s="125" t="s">
        <v>93</v>
      </c>
      <c r="C390" s="58">
        <v>0</v>
      </c>
      <c r="G390" s="154">
        <v>0</v>
      </c>
      <c r="K390" s="154"/>
      <c r="M390" s="207" t="s">
        <v>390</v>
      </c>
      <c r="N390" s="276">
        <v>0</v>
      </c>
    </row>
    <row r="391" spans="1:16" ht="16.5" thickBot="1">
      <c r="A391" s="125" t="s">
        <v>94</v>
      </c>
      <c r="C391" s="169">
        <v>1419326149.6327779</v>
      </c>
      <c r="E391" s="163"/>
      <c r="G391" s="164">
        <v>129897911</v>
      </c>
      <c r="I391" s="263"/>
      <c r="K391" s="164">
        <f>SUM(K381:K390)</f>
        <v>1943563</v>
      </c>
      <c r="M391" s="137" t="s">
        <v>41</v>
      </c>
      <c r="N391" s="128">
        <f>'Exhibit-RMP(WRG-1R)'!M51</f>
        <v>28892.911</v>
      </c>
      <c r="P391" s="114">
        <f>K490</f>
        <v>28892911</v>
      </c>
    </row>
    <row r="392" spans="1:16" ht="16.5" thickTop="1">
      <c r="C392" s="57"/>
      <c r="L392" s="114"/>
      <c r="M392" s="139" t="s">
        <v>74</v>
      </c>
      <c r="N392" s="132">
        <f>RateSpread!M51</f>
        <v>28892.10774349983</v>
      </c>
      <c r="P392" s="114">
        <f>EBARev!E26</f>
        <v>28892107.74349983</v>
      </c>
    </row>
    <row r="393" spans="1:16">
      <c r="A393" s="122" t="s">
        <v>295</v>
      </c>
      <c r="C393" s="57"/>
      <c r="E393" s="166"/>
      <c r="F393" s="172"/>
      <c r="I393" s="256"/>
      <c r="J393" s="172"/>
      <c r="L393" s="114"/>
      <c r="M393" s="133" t="s">
        <v>76</v>
      </c>
      <c r="N393" s="134">
        <f>N392-N391</f>
        <v>-0.80325650017039152</v>
      </c>
      <c r="P393" s="114">
        <f>P392-P391</f>
        <v>-803.25650016963482</v>
      </c>
    </row>
    <row r="394" spans="1:16">
      <c r="A394" s="205" t="s">
        <v>296</v>
      </c>
      <c r="C394" s="57"/>
      <c r="L394" s="114"/>
      <c r="M394" s="108" t="s">
        <v>386</v>
      </c>
    </row>
    <row r="395" spans="1:16">
      <c r="A395" s="125" t="s">
        <v>297</v>
      </c>
      <c r="B395" s="125"/>
      <c r="C395" s="57">
        <v>0</v>
      </c>
      <c r="E395" s="54">
        <v>116</v>
      </c>
      <c r="F395" s="126"/>
      <c r="G395" s="114">
        <v>0</v>
      </c>
      <c r="I395" s="255"/>
      <c r="J395" s="126"/>
      <c r="K395" s="114"/>
      <c r="L395" s="114"/>
      <c r="M395" s="127" t="s">
        <v>72</v>
      </c>
      <c r="N395" s="128">
        <f>K434</f>
        <v>65698</v>
      </c>
    </row>
    <row r="396" spans="1:16">
      <c r="A396" s="125" t="s">
        <v>298</v>
      </c>
      <c r="B396" s="125"/>
      <c r="C396" s="57">
        <v>0</v>
      </c>
      <c r="E396" s="54">
        <v>4.26</v>
      </c>
      <c r="F396" s="126"/>
      <c r="G396" s="114">
        <v>0</v>
      </c>
      <c r="I396" s="255"/>
      <c r="J396" s="126"/>
      <c r="K396" s="114"/>
      <c r="L396" s="114"/>
      <c r="M396" s="131" t="s">
        <v>74</v>
      </c>
      <c r="N396" s="132">
        <f>RateSpread!M33*1000</f>
        <v>83960.40864759442</v>
      </c>
      <c r="O396" s="57"/>
    </row>
    <row r="397" spans="1:16">
      <c r="A397" s="125" t="s">
        <v>299</v>
      </c>
      <c r="B397" s="125"/>
      <c r="C397" s="57"/>
      <c r="E397" s="146"/>
      <c r="F397" s="145"/>
      <c r="G397" s="114"/>
      <c r="I397" s="256"/>
      <c r="J397" s="145"/>
      <c r="K397" s="114"/>
      <c r="M397" s="133" t="s">
        <v>76</v>
      </c>
      <c r="N397" s="134">
        <f>N396-N395</f>
        <v>18262.40864759442</v>
      </c>
    </row>
    <row r="398" spans="1:16">
      <c r="A398" s="125" t="s">
        <v>300</v>
      </c>
      <c r="B398" s="125"/>
      <c r="C398" s="57">
        <v>0</v>
      </c>
      <c r="E398" s="209">
        <v>0.58679999999999999</v>
      </c>
      <c r="F398" s="210"/>
      <c r="G398" s="114">
        <v>0</v>
      </c>
      <c r="I398" s="255"/>
      <c r="J398" s="210"/>
      <c r="K398" s="114"/>
      <c r="L398" s="114"/>
      <c r="M398" s="137"/>
      <c r="N398" s="167"/>
      <c r="O398" s="255"/>
    </row>
    <row r="399" spans="1:16">
      <c r="A399" s="125" t="s">
        <v>301</v>
      </c>
      <c r="B399" s="125"/>
      <c r="C399" s="57">
        <v>0</v>
      </c>
      <c r="E399" s="211">
        <v>0.29339999999999999</v>
      </c>
      <c r="F399" s="212"/>
      <c r="G399" s="114">
        <v>0</v>
      </c>
      <c r="I399" s="255"/>
      <c r="J399" s="212"/>
      <c r="K399" s="114"/>
      <c r="L399" s="114"/>
      <c r="M399" s="139"/>
      <c r="N399" s="168"/>
      <c r="O399" s="255"/>
    </row>
    <row r="400" spans="1:16">
      <c r="A400" s="125" t="s">
        <v>302</v>
      </c>
      <c r="B400" s="125"/>
      <c r="C400" s="57">
        <v>0</v>
      </c>
      <c r="E400" s="54">
        <v>55.28</v>
      </c>
      <c r="F400" s="126"/>
      <c r="G400" s="114">
        <v>0</v>
      </c>
      <c r="I400" s="255"/>
      <c r="J400" s="126"/>
      <c r="K400" s="114"/>
      <c r="L400" s="114"/>
      <c r="M400" s="139"/>
      <c r="N400" s="168"/>
      <c r="O400" s="255"/>
    </row>
    <row r="401" spans="1:15">
      <c r="A401" s="205" t="s">
        <v>303</v>
      </c>
      <c r="C401" s="57"/>
      <c r="L401" s="114"/>
      <c r="M401" s="151"/>
      <c r="N401" s="170"/>
      <c r="O401" s="57"/>
    </row>
    <row r="402" spans="1:15">
      <c r="A402" s="125" t="s">
        <v>297</v>
      </c>
      <c r="C402" s="57">
        <v>34.559999165216908</v>
      </c>
      <c r="E402" s="54">
        <v>527</v>
      </c>
      <c r="F402" s="126"/>
      <c r="G402" s="114">
        <v>18213</v>
      </c>
      <c r="I402" s="255"/>
      <c r="J402" s="126"/>
      <c r="K402" s="114"/>
      <c r="L402" s="114"/>
      <c r="O402" s="57"/>
    </row>
    <row r="403" spans="1:15">
      <c r="A403" s="125" t="s">
        <v>298</v>
      </c>
      <c r="C403" s="57">
        <v>166568</v>
      </c>
      <c r="E403" s="54">
        <v>3.35</v>
      </c>
      <c r="F403" s="126"/>
      <c r="G403" s="114">
        <v>558003</v>
      </c>
      <c r="I403" s="255"/>
      <c r="J403" s="126"/>
      <c r="K403" s="114"/>
      <c r="L403" s="114"/>
      <c r="M403" s="209"/>
      <c r="N403" s="165"/>
      <c r="O403" s="57"/>
    </row>
    <row r="404" spans="1:15">
      <c r="A404" s="125" t="s">
        <v>299</v>
      </c>
      <c r="C404" s="57"/>
      <c r="E404" s="54"/>
      <c r="F404" s="126"/>
      <c r="G404" s="114"/>
      <c r="I404" s="256"/>
      <c r="J404" s="126"/>
      <c r="K404" s="114"/>
      <c r="M404" s="54"/>
    </row>
    <row r="405" spans="1:15">
      <c r="A405" s="125" t="s">
        <v>300</v>
      </c>
      <c r="C405" s="57">
        <v>1073035</v>
      </c>
      <c r="E405" s="209">
        <v>0.57099999999999995</v>
      </c>
      <c r="F405" s="210"/>
      <c r="G405" s="114">
        <v>612703</v>
      </c>
      <c r="I405" s="255"/>
      <c r="J405" s="210"/>
      <c r="K405" s="114"/>
      <c r="L405" s="114"/>
      <c r="M405" s="124"/>
      <c r="N405" s="147"/>
      <c r="O405" s="255"/>
    </row>
    <row r="406" spans="1:15">
      <c r="A406" s="125" t="s">
        <v>301</v>
      </c>
      <c r="C406" s="57">
        <v>79254</v>
      </c>
      <c r="E406" s="211">
        <v>0.28549999999999998</v>
      </c>
      <c r="F406" s="212"/>
      <c r="G406" s="114">
        <v>22627</v>
      </c>
      <c r="I406" s="255"/>
      <c r="J406" s="212"/>
      <c r="K406" s="114"/>
      <c r="L406" s="114"/>
      <c r="M406" s="124"/>
      <c r="N406" s="147"/>
      <c r="O406" s="255"/>
    </row>
    <row r="407" spans="1:15">
      <c r="A407" s="125" t="s">
        <v>302</v>
      </c>
      <c r="C407" s="57">
        <v>0</v>
      </c>
      <c r="E407" s="54">
        <v>39.840000000000003</v>
      </c>
      <c r="F407" s="126"/>
      <c r="G407" s="114">
        <v>0</v>
      </c>
      <c r="I407" s="255"/>
      <c r="J407" s="126"/>
      <c r="K407" s="114"/>
      <c r="L407" s="114"/>
      <c r="M407" s="186"/>
      <c r="N407" s="147"/>
      <c r="O407" s="255"/>
    </row>
    <row r="408" spans="1:15">
      <c r="A408" s="205" t="s">
        <v>304</v>
      </c>
      <c r="C408" s="57"/>
      <c r="L408" s="114"/>
      <c r="M408" s="109"/>
      <c r="N408" s="171"/>
      <c r="O408" s="57"/>
    </row>
    <row r="409" spans="1:15">
      <c r="A409" s="125" t="s">
        <v>297</v>
      </c>
      <c r="C409" s="57">
        <v>13.440000834783092</v>
      </c>
      <c r="E409" s="54">
        <v>590</v>
      </c>
      <c r="F409" s="126"/>
      <c r="G409" s="114">
        <v>7930</v>
      </c>
      <c r="I409" s="255"/>
      <c r="J409" s="126"/>
      <c r="K409" s="114"/>
      <c r="L409" s="114"/>
      <c r="M409" s="109"/>
      <c r="N409" s="171"/>
      <c r="O409" s="57"/>
    </row>
    <row r="410" spans="1:15">
      <c r="A410" s="125" t="s">
        <v>298</v>
      </c>
      <c r="C410" s="57">
        <v>71234</v>
      </c>
      <c r="E410" s="54">
        <v>1.9</v>
      </c>
      <c r="F410" s="126"/>
      <c r="G410" s="114">
        <v>135345</v>
      </c>
      <c r="I410" s="255"/>
      <c r="J410" s="126"/>
      <c r="K410" s="114"/>
      <c r="L410" s="114"/>
      <c r="M410" s="109"/>
      <c r="N410" s="171"/>
      <c r="O410" s="57"/>
    </row>
    <row r="411" spans="1:15">
      <c r="A411" s="125" t="s">
        <v>299</v>
      </c>
      <c r="C411" s="57"/>
      <c r="E411" s="146"/>
      <c r="F411" s="145"/>
      <c r="G411" s="114"/>
      <c r="I411" s="256"/>
      <c r="J411" s="145"/>
      <c r="K411" s="114"/>
      <c r="L411" s="147"/>
      <c r="M411" s="109"/>
      <c r="N411" s="171"/>
      <c r="O411" s="57"/>
    </row>
    <row r="412" spans="1:15">
      <c r="A412" s="125" t="s">
        <v>300</v>
      </c>
      <c r="C412" s="57">
        <v>90487</v>
      </c>
      <c r="E412" s="209">
        <v>0.44850000000000001</v>
      </c>
      <c r="F412" s="210"/>
      <c r="G412" s="114">
        <v>40583</v>
      </c>
      <c r="I412" s="255"/>
      <c r="J412" s="210"/>
      <c r="K412" s="114"/>
      <c r="L412" s="147"/>
      <c r="M412" s="54"/>
      <c r="N412" s="165"/>
      <c r="O412" s="255"/>
    </row>
    <row r="413" spans="1:15">
      <c r="A413" s="125" t="s">
        <v>301</v>
      </c>
      <c r="C413" s="57">
        <v>6354</v>
      </c>
      <c r="E413" s="211">
        <v>0.2243</v>
      </c>
      <c r="F413" s="212"/>
      <c r="G413" s="114">
        <v>1425</v>
      </c>
      <c r="I413" s="255"/>
      <c r="J413" s="212"/>
      <c r="K413" s="114"/>
      <c r="L413" s="147"/>
      <c r="N413" s="165"/>
      <c r="O413" s="255"/>
    </row>
    <row r="414" spans="1:15">
      <c r="A414" s="125" t="s">
        <v>302</v>
      </c>
      <c r="C414" s="57">
        <v>0</v>
      </c>
      <c r="E414" s="54">
        <v>38.36</v>
      </c>
      <c r="F414" s="126"/>
      <c r="G414" s="114">
        <v>0</v>
      </c>
      <c r="I414" s="255"/>
      <c r="J414" s="126"/>
      <c r="K414" s="114"/>
      <c r="L414" s="147"/>
      <c r="O414" s="255"/>
    </row>
    <row r="415" spans="1:15">
      <c r="A415" s="125" t="s">
        <v>285</v>
      </c>
      <c r="C415" s="194"/>
      <c r="E415" s="166"/>
      <c r="F415" s="172"/>
      <c r="G415" s="154">
        <v>1396829</v>
      </c>
      <c r="I415" s="256"/>
      <c r="J415" s="172"/>
      <c r="K415" s="154"/>
      <c r="L415" s="114"/>
      <c r="N415" s="171"/>
    </row>
    <row r="416" spans="1:15">
      <c r="A416" s="205" t="s">
        <v>305</v>
      </c>
      <c r="L416" s="114"/>
      <c r="M416" s="213"/>
    </row>
    <row r="417" spans="1:15">
      <c r="A417" s="122" t="s">
        <v>306</v>
      </c>
      <c r="C417" s="57"/>
      <c r="E417" s="146"/>
      <c r="F417" s="145"/>
      <c r="G417" s="114"/>
      <c r="I417" s="256"/>
      <c r="J417" s="145"/>
      <c r="K417" s="114"/>
      <c r="L417" s="114"/>
      <c r="M417" s="213"/>
    </row>
    <row r="418" spans="1:15">
      <c r="A418" s="125" t="s">
        <v>153</v>
      </c>
      <c r="C418" s="57">
        <v>58046</v>
      </c>
      <c r="E418" s="146">
        <v>4.22</v>
      </c>
      <c r="F418" s="145"/>
      <c r="G418" s="114">
        <v>244954</v>
      </c>
      <c r="I418" s="256"/>
      <c r="J418" s="145"/>
      <c r="K418" s="114"/>
      <c r="L418" s="114"/>
      <c r="M418" s="213"/>
    </row>
    <row r="419" spans="1:15">
      <c r="A419" s="125" t="s">
        <v>154</v>
      </c>
      <c r="C419" s="57">
        <v>0</v>
      </c>
      <c r="E419" s="146">
        <v>13.81</v>
      </c>
      <c r="F419" s="145"/>
      <c r="G419" s="114">
        <v>0</v>
      </c>
      <c r="I419" s="256">
        <f t="shared" ref="I419:I424" si="49">I142</f>
        <v>0.02</v>
      </c>
      <c r="J419" s="145"/>
      <c r="K419" s="114">
        <f t="shared" ref="K419:K424" si="50">ROUND(G419*I419,0)</f>
        <v>0</v>
      </c>
      <c r="L419" s="114"/>
      <c r="M419" s="213"/>
      <c r="O419" s="255" t="e">
        <f t="shared" ref="O419:O420" si="51">K419/G419</f>
        <v>#DIV/0!</v>
      </c>
    </row>
    <row r="420" spans="1:15">
      <c r="A420" s="125" t="s">
        <v>155</v>
      </c>
      <c r="C420" s="57">
        <v>58046</v>
      </c>
      <c r="E420" s="146">
        <v>9.94</v>
      </c>
      <c r="F420" s="145"/>
      <c r="G420" s="114">
        <v>576977</v>
      </c>
      <c r="I420" s="256">
        <f t="shared" si="49"/>
        <v>0.02</v>
      </c>
      <c r="J420" s="145"/>
      <c r="K420" s="114">
        <f t="shared" si="50"/>
        <v>11540</v>
      </c>
      <c r="L420" s="114"/>
      <c r="M420" s="213"/>
      <c r="O420" s="255">
        <f t="shared" si="51"/>
        <v>2.0000797258816209E-2</v>
      </c>
    </row>
    <row r="421" spans="1:15">
      <c r="A421" s="125" t="s">
        <v>104</v>
      </c>
      <c r="C421" s="57">
        <v>58046</v>
      </c>
      <c r="E421" s="146">
        <v>-1.01</v>
      </c>
      <c r="F421" s="145"/>
      <c r="G421" s="114">
        <v>-58626</v>
      </c>
      <c r="I421" s="256"/>
      <c r="J421" s="145"/>
      <c r="K421" s="114"/>
      <c r="L421" s="114"/>
      <c r="M421" s="213"/>
    </row>
    <row r="422" spans="1:15">
      <c r="A422" s="125" t="s">
        <v>98</v>
      </c>
      <c r="C422" s="57">
        <v>4826571</v>
      </c>
      <c r="E422" s="166">
        <v>4.4812000000000003</v>
      </c>
      <c r="F422" s="136" t="s">
        <v>78</v>
      </c>
      <c r="G422" s="114">
        <v>216288</v>
      </c>
      <c r="I422" s="256">
        <f t="shared" si="49"/>
        <v>0.02</v>
      </c>
      <c r="J422" s="136"/>
      <c r="K422" s="114">
        <f t="shared" si="50"/>
        <v>4326</v>
      </c>
      <c r="L422" s="114"/>
      <c r="M422" s="213"/>
      <c r="O422" s="255">
        <f t="shared" ref="O422:O424" si="52">K422/G422</f>
        <v>2.0001109631602308E-2</v>
      </c>
    </row>
    <row r="423" spans="1:15">
      <c r="A423" s="125" t="s">
        <v>117</v>
      </c>
      <c r="C423" s="57">
        <v>17172547</v>
      </c>
      <c r="E423" s="166">
        <v>3.5078</v>
      </c>
      <c r="F423" s="136" t="s">
        <v>78</v>
      </c>
      <c r="G423" s="114">
        <v>602379</v>
      </c>
      <c r="I423" s="256">
        <f t="shared" si="49"/>
        <v>0.02</v>
      </c>
      <c r="J423" s="136"/>
      <c r="K423" s="114">
        <f t="shared" si="50"/>
        <v>12048</v>
      </c>
      <c r="L423" s="114"/>
      <c r="O423" s="255">
        <f t="shared" si="52"/>
        <v>2.0000697235461395E-2</v>
      </c>
    </row>
    <row r="424" spans="1:15">
      <c r="A424" s="125" t="s">
        <v>156</v>
      </c>
      <c r="C424" s="57">
        <v>22120759.026000001</v>
      </c>
      <c r="E424" s="166">
        <v>3.0226999999999999</v>
      </c>
      <c r="F424" s="136" t="s">
        <v>78</v>
      </c>
      <c r="G424" s="114">
        <v>668644</v>
      </c>
      <c r="I424" s="256">
        <f t="shared" si="49"/>
        <v>0.02</v>
      </c>
      <c r="J424" s="136"/>
      <c r="K424" s="114">
        <f t="shared" si="50"/>
        <v>13373</v>
      </c>
      <c r="L424" s="114"/>
      <c r="M424" s="213"/>
      <c r="O424" s="255">
        <f t="shared" si="52"/>
        <v>2.0000179467698807E-2</v>
      </c>
    </row>
    <row r="425" spans="1:15">
      <c r="A425" s="122" t="s">
        <v>307</v>
      </c>
      <c r="C425" s="57"/>
      <c r="E425" s="146"/>
      <c r="F425" s="145"/>
      <c r="G425" s="114"/>
      <c r="I425" s="256"/>
      <c r="J425" s="145"/>
      <c r="K425" s="114"/>
      <c r="L425" s="114"/>
      <c r="M425" s="213"/>
    </row>
    <row r="426" spans="1:15">
      <c r="A426" s="125" t="s">
        <v>153</v>
      </c>
      <c r="C426" s="57">
        <v>52999</v>
      </c>
      <c r="E426" s="146">
        <v>1.94</v>
      </c>
      <c r="F426" s="145"/>
      <c r="G426" s="114">
        <v>102818</v>
      </c>
      <c r="I426" s="256"/>
      <c r="J426" s="145"/>
      <c r="K426" s="114"/>
      <c r="L426" s="114"/>
      <c r="M426" s="213"/>
    </row>
    <row r="427" spans="1:15">
      <c r="A427" s="125" t="s">
        <v>154</v>
      </c>
      <c r="C427" s="57">
        <v>52999</v>
      </c>
      <c r="E427" s="146">
        <v>12.18</v>
      </c>
      <c r="F427" s="145"/>
      <c r="G427" s="114">
        <v>645528</v>
      </c>
      <c r="I427" s="256">
        <f t="shared" ref="I427:I431" si="53">I154</f>
        <v>2.18E-2</v>
      </c>
      <c r="J427" s="145"/>
      <c r="K427" s="114">
        <f t="shared" ref="K427:K431" si="54">ROUND(G427*I427,0)</f>
        <v>14073</v>
      </c>
      <c r="L427" s="147"/>
      <c r="M427" s="213"/>
      <c r="O427" s="255">
        <f t="shared" ref="O427:O431" si="55">K427/G427</f>
        <v>2.1800758448897648E-2</v>
      </c>
    </row>
    <row r="428" spans="1:15">
      <c r="A428" s="125" t="s">
        <v>155</v>
      </c>
      <c r="C428" s="57">
        <v>0</v>
      </c>
      <c r="E428" s="146">
        <v>8.26</v>
      </c>
      <c r="F428" s="145"/>
      <c r="G428" s="114">
        <v>0</v>
      </c>
      <c r="I428" s="256">
        <f t="shared" si="53"/>
        <v>2.18E-2</v>
      </c>
      <c r="J428" s="145"/>
      <c r="K428" s="114">
        <f t="shared" si="54"/>
        <v>0</v>
      </c>
      <c r="L428" s="147"/>
      <c r="M428" s="213"/>
      <c r="O428" s="255" t="e">
        <f t="shared" si="55"/>
        <v>#DIV/0!</v>
      </c>
    </row>
    <row r="429" spans="1:15">
      <c r="A429" s="125" t="s">
        <v>158</v>
      </c>
      <c r="C429" s="57">
        <v>4903975</v>
      </c>
      <c r="E429" s="174">
        <v>4.0587999999999997</v>
      </c>
      <c r="F429" s="136" t="s">
        <v>78</v>
      </c>
      <c r="G429" s="114">
        <v>199043</v>
      </c>
      <c r="I429" s="256">
        <f t="shared" si="53"/>
        <v>2.18E-2</v>
      </c>
      <c r="J429" s="136"/>
      <c r="K429" s="114">
        <f t="shared" si="54"/>
        <v>4339</v>
      </c>
      <c r="L429" s="147"/>
      <c r="M429" s="213"/>
      <c r="O429" s="255">
        <f t="shared" si="55"/>
        <v>2.1799309696899666E-2</v>
      </c>
    </row>
    <row r="430" spans="1:15">
      <c r="A430" s="125" t="s">
        <v>159</v>
      </c>
      <c r="C430" s="57">
        <v>213357</v>
      </c>
      <c r="E430" s="174">
        <v>3.052</v>
      </c>
      <c r="F430" s="136" t="s">
        <v>78</v>
      </c>
      <c r="G430" s="114">
        <v>6512</v>
      </c>
      <c r="I430" s="256">
        <f t="shared" si="53"/>
        <v>2.18E-2</v>
      </c>
      <c r="J430" s="136"/>
      <c r="K430" s="114">
        <f t="shared" si="54"/>
        <v>142</v>
      </c>
      <c r="L430" s="147"/>
      <c r="O430" s="255">
        <f t="shared" si="55"/>
        <v>2.1805896805896806E-2</v>
      </c>
    </row>
    <row r="431" spans="1:15">
      <c r="A431" s="125" t="s">
        <v>156</v>
      </c>
      <c r="C431" s="203">
        <v>10541630</v>
      </c>
      <c r="E431" s="214">
        <v>2.5488</v>
      </c>
      <c r="F431" s="136" t="s">
        <v>78</v>
      </c>
      <c r="G431" s="180">
        <v>268685</v>
      </c>
      <c r="I431" s="272">
        <f t="shared" si="53"/>
        <v>2.18E-2</v>
      </c>
      <c r="J431" s="136"/>
      <c r="K431" s="180">
        <f t="shared" si="54"/>
        <v>5857</v>
      </c>
      <c r="O431" s="255">
        <f t="shared" si="55"/>
        <v>2.1798760630478069E-2</v>
      </c>
    </row>
    <row r="432" spans="1:15">
      <c r="A432" s="125" t="s">
        <v>285</v>
      </c>
      <c r="C432" s="130"/>
      <c r="E432" s="215"/>
      <c r="F432" s="136"/>
      <c r="G432" s="147">
        <v>3473202</v>
      </c>
      <c r="I432" s="266"/>
      <c r="J432" s="136"/>
      <c r="K432" s="147">
        <f>SUM(K418:K431)</f>
        <v>65698</v>
      </c>
      <c r="N432" s="161"/>
    </row>
    <row r="433" spans="1:15">
      <c r="A433" s="108" t="s">
        <v>149</v>
      </c>
      <c r="C433" s="194">
        <v>0</v>
      </c>
      <c r="E433" s="166"/>
      <c r="F433" s="172"/>
      <c r="G433" s="154">
        <v>0</v>
      </c>
      <c r="I433" s="256"/>
      <c r="J433" s="172"/>
      <c r="K433" s="154"/>
    </row>
    <row r="434" spans="1:15" ht="16.5" thickBot="1">
      <c r="A434" s="125" t="s">
        <v>308</v>
      </c>
      <c r="C434" s="169">
        <v>59778839.026000001</v>
      </c>
      <c r="E434" s="163"/>
      <c r="G434" s="164">
        <v>4870031</v>
      </c>
      <c r="I434" s="263"/>
      <c r="K434" s="164">
        <f>K415+K432+K433</f>
        <v>65698</v>
      </c>
      <c r="N434" s="161"/>
    </row>
    <row r="435" spans="1:15" ht="16.5" thickTop="1">
      <c r="L435" s="114"/>
      <c r="O435" s="57"/>
    </row>
    <row r="436" spans="1:15">
      <c r="A436" s="122" t="s">
        <v>44</v>
      </c>
      <c r="C436" s="57"/>
      <c r="L436" s="216"/>
    </row>
    <row r="437" spans="1:15">
      <c r="A437" s="125" t="s">
        <v>101</v>
      </c>
      <c r="C437" s="57">
        <v>12</v>
      </c>
      <c r="E437" s="166"/>
      <c r="F437" s="172"/>
      <c r="G437" s="216">
        <v>2412.7199999999998</v>
      </c>
      <c r="I437" s="256"/>
      <c r="J437" s="172"/>
      <c r="K437" s="216"/>
      <c r="L437" s="216"/>
    </row>
    <row r="438" spans="1:15">
      <c r="A438" s="125" t="s">
        <v>309</v>
      </c>
      <c r="C438" s="57">
        <v>879806</v>
      </c>
      <c r="E438" s="166"/>
      <c r="F438" s="172"/>
      <c r="G438" s="216">
        <v>4202717.5536203282</v>
      </c>
      <c r="I438" s="256"/>
      <c r="J438" s="172"/>
      <c r="K438" s="216"/>
      <c r="L438" s="114"/>
      <c r="M438" s="109"/>
      <c r="N438" s="124"/>
    </row>
    <row r="439" spans="1:15">
      <c r="A439" s="125" t="s">
        <v>310</v>
      </c>
      <c r="C439" s="57">
        <v>1294638</v>
      </c>
      <c r="E439" s="166"/>
      <c r="F439" s="172"/>
      <c r="G439" s="216">
        <v>5078880.159718737</v>
      </c>
      <c r="I439" s="256"/>
      <c r="J439" s="172"/>
      <c r="K439" s="216"/>
      <c r="L439" s="147"/>
      <c r="M439" s="171"/>
      <c r="N439" s="147"/>
    </row>
    <row r="440" spans="1:15">
      <c r="A440" s="125" t="s">
        <v>311</v>
      </c>
      <c r="C440" s="57">
        <v>231454981</v>
      </c>
      <c r="E440" s="217"/>
      <c r="F440" s="218"/>
      <c r="G440" s="216">
        <v>7456075.6942890193</v>
      </c>
      <c r="I440" s="256"/>
      <c r="J440" s="218"/>
      <c r="K440" s="216"/>
      <c r="L440" s="147"/>
      <c r="M440" s="130"/>
      <c r="N440" s="147"/>
    </row>
    <row r="441" spans="1:15">
      <c r="A441" s="125" t="s">
        <v>312</v>
      </c>
      <c r="C441" s="58">
        <v>312515610</v>
      </c>
      <c r="G441" s="154">
        <v>7484748.8848433672</v>
      </c>
      <c r="K441" s="154"/>
      <c r="L441" s="166"/>
      <c r="M441" s="130"/>
      <c r="N441" s="147"/>
    </row>
    <row r="442" spans="1:15" ht="16.5" thickBot="1">
      <c r="A442" s="125" t="s">
        <v>94</v>
      </c>
      <c r="C442" s="169">
        <v>543970591</v>
      </c>
      <c r="E442" s="219"/>
      <c r="F442" s="172"/>
      <c r="G442" s="164">
        <v>24224835.012471452</v>
      </c>
      <c r="I442" s="273"/>
      <c r="J442" s="172"/>
      <c r="K442" s="164">
        <f>SUM(K437:K441)</f>
        <v>0</v>
      </c>
      <c r="L442" s="114"/>
    </row>
    <row r="443" spans="1:15" ht="16.5" thickTop="1">
      <c r="C443" s="57"/>
      <c r="G443" s="166"/>
      <c r="K443" s="166"/>
      <c r="L443" s="114"/>
    </row>
    <row r="444" spans="1:15">
      <c r="A444" s="107" t="s">
        <v>45</v>
      </c>
      <c r="B444" s="109"/>
      <c r="C444" s="57"/>
      <c r="E444" s="166"/>
      <c r="F444" s="172"/>
      <c r="I444" s="256"/>
      <c r="J444" s="172"/>
      <c r="L444" s="147"/>
    </row>
    <row r="445" spans="1:15">
      <c r="A445" s="149" t="s">
        <v>101</v>
      </c>
      <c r="B445" s="109"/>
      <c r="C445" s="57">
        <v>12</v>
      </c>
      <c r="L445" s="147"/>
      <c r="M445" s="109"/>
      <c r="N445" s="124"/>
    </row>
    <row r="446" spans="1:15">
      <c r="A446" s="149" t="s">
        <v>313</v>
      </c>
      <c r="B446" s="109"/>
      <c r="C446" s="57">
        <v>717800151.75</v>
      </c>
      <c r="E446" s="220"/>
      <c r="F446" s="221"/>
      <c r="G446" s="114">
        <v>26946217.696695004</v>
      </c>
      <c r="I446" s="274"/>
      <c r="J446" s="221"/>
      <c r="K446" s="180"/>
      <c r="M446" s="130"/>
      <c r="N446" s="147"/>
    </row>
    <row r="447" spans="1:15" ht="16.5" thickBot="1">
      <c r="A447" s="125" t="s">
        <v>94</v>
      </c>
      <c r="B447" s="109"/>
      <c r="C447" s="222">
        <v>717800151.75</v>
      </c>
      <c r="E447" s="223"/>
      <c r="F447" s="172"/>
      <c r="G447" s="224">
        <v>26946217.696695004</v>
      </c>
      <c r="I447" s="275"/>
      <c r="J447" s="172"/>
      <c r="K447" s="158">
        <f>SUM(K446:K446)</f>
        <v>0</v>
      </c>
      <c r="L447" s="216"/>
      <c r="M447" s="155"/>
      <c r="N447" s="155"/>
    </row>
    <row r="448" spans="1:15" ht="16.5" thickTop="1">
      <c r="A448" s="149"/>
      <c r="B448" s="109"/>
      <c r="C448" s="130"/>
      <c r="E448" s="204"/>
      <c r="F448" s="204"/>
      <c r="G448" s="147"/>
      <c r="I448" s="204"/>
      <c r="J448" s="204"/>
      <c r="K448" s="147"/>
      <c r="L448" s="216"/>
      <c r="M448" s="124"/>
      <c r="N448" s="147"/>
    </row>
    <row r="449" spans="1:15">
      <c r="A449" s="122" t="s">
        <v>314</v>
      </c>
      <c r="C449" s="57"/>
      <c r="E449" s="166"/>
      <c r="F449" s="172"/>
      <c r="I449" s="256"/>
      <c r="J449" s="172"/>
      <c r="L449" s="216"/>
    </row>
    <row r="450" spans="1:15">
      <c r="A450" s="125" t="s">
        <v>101</v>
      </c>
      <c r="C450" s="57">
        <v>12</v>
      </c>
      <c r="E450" s="54">
        <v>590</v>
      </c>
      <c r="F450" s="172"/>
      <c r="G450" s="114">
        <v>7080</v>
      </c>
      <c r="I450" s="255"/>
      <c r="J450" s="172"/>
      <c r="K450" s="114"/>
      <c r="L450" s="216"/>
      <c r="M450" s="208"/>
    </row>
    <row r="451" spans="1:15">
      <c r="A451" s="125" t="s">
        <v>315</v>
      </c>
      <c r="C451" s="57">
        <v>693457</v>
      </c>
      <c r="E451" s="54">
        <v>1.9</v>
      </c>
      <c r="F451" s="172"/>
      <c r="G451" s="114">
        <v>1317568</v>
      </c>
      <c r="I451" s="255"/>
      <c r="J451" s="172"/>
      <c r="K451" s="114"/>
      <c r="L451" s="147"/>
      <c r="N451" s="129"/>
    </row>
    <row r="452" spans="1:15">
      <c r="A452" s="125" t="s">
        <v>316</v>
      </c>
      <c r="C452" s="57"/>
      <c r="E452" s="146"/>
      <c r="F452" s="225"/>
      <c r="G452" s="216"/>
      <c r="I452" s="256"/>
      <c r="J452" s="225"/>
      <c r="K452" s="216"/>
      <c r="L452" s="147"/>
      <c r="N452" s="129"/>
    </row>
    <row r="453" spans="1:15">
      <c r="A453" s="125" t="s">
        <v>300</v>
      </c>
      <c r="C453" s="57">
        <v>6274249</v>
      </c>
      <c r="E453" s="209">
        <v>0.44850000000000001</v>
      </c>
      <c r="F453" s="210"/>
      <c r="G453" s="114">
        <v>2814001</v>
      </c>
      <c r="I453" s="255"/>
      <c r="J453" s="172"/>
      <c r="K453" s="114"/>
      <c r="L453" s="147"/>
      <c r="M453" s="54"/>
      <c r="N453" s="129"/>
      <c r="O453" s="255"/>
    </row>
    <row r="454" spans="1:15">
      <c r="A454" s="125" t="s">
        <v>301</v>
      </c>
      <c r="C454" s="57">
        <v>0</v>
      </c>
      <c r="E454" s="211">
        <v>0.2243</v>
      </c>
      <c r="F454" s="212"/>
      <c r="G454" s="114">
        <v>0</v>
      </c>
      <c r="I454" s="256"/>
      <c r="J454" s="172"/>
      <c r="K454" s="114"/>
      <c r="L454" s="147"/>
      <c r="M454" s="208"/>
      <c r="N454" s="165"/>
      <c r="O454" s="255"/>
    </row>
    <row r="455" spans="1:15">
      <c r="A455" s="125" t="s">
        <v>317</v>
      </c>
      <c r="C455" s="57">
        <v>0</v>
      </c>
      <c r="E455" s="54">
        <v>38.36</v>
      </c>
      <c r="F455" s="126"/>
      <c r="G455" s="114">
        <v>0</v>
      </c>
      <c r="I455" s="255"/>
      <c r="J455" s="172"/>
      <c r="K455" s="114"/>
      <c r="L455" s="147"/>
      <c r="N455" s="129"/>
      <c r="O455" s="255"/>
    </row>
    <row r="456" spans="1:15">
      <c r="A456" s="125" t="s">
        <v>318</v>
      </c>
      <c r="C456" s="57"/>
      <c r="E456" s="184"/>
      <c r="F456" s="225"/>
      <c r="G456" s="216"/>
      <c r="I456" s="255"/>
      <c r="J456" s="225"/>
      <c r="K456" s="216"/>
      <c r="N456" s="129"/>
    </row>
    <row r="457" spans="1:15">
      <c r="A457" s="125" t="s">
        <v>319</v>
      </c>
      <c r="C457" s="57">
        <v>334617</v>
      </c>
      <c r="E457" s="146">
        <v>12.18</v>
      </c>
      <c r="F457" s="145"/>
      <c r="G457" s="114">
        <v>4075635</v>
      </c>
      <c r="I457" s="256">
        <f>I154</f>
        <v>2.18E-2</v>
      </c>
      <c r="J457" s="145"/>
      <c r="K457" s="114">
        <f t="shared" ref="K457:K458" si="56">ROUND(G457*I457,0)</f>
        <v>88849</v>
      </c>
      <c r="L457" s="114"/>
      <c r="M457" s="54"/>
      <c r="N457" s="129"/>
      <c r="O457" s="255">
        <f t="shared" ref="O457:O458" si="57">K457/G457</f>
        <v>2.1800038521604607E-2</v>
      </c>
    </row>
    <row r="458" spans="1:15">
      <c r="A458" s="125" t="s">
        <v>320</v>
      </c>
      <c r="C458" s="57">
        <v>1495903</v>
      </c>
      <c r="E458" s="146">
        <v>8.26</v>
      </c>
      <c r="F458" s="145"/>
      <c r="G458" s="114">
        <v>12356159</v>
      </c>
      <c r="I458" s="256">
        <f>I155</f>
        <v>2.18E-2</v>
      </c>
      <c r="J458" s="145"/>
      <c r="K458" s="114">
        <f t="shared" si="56"/>
        <v>269364</v>
      </c>
      <c r="L458" s="147"/>
      <c r="O458" s="255">
        <f t="shared" si="57"/>
        <v>2.1799978456088175E-2</v>
      </c>
    </row>
    <row r="459" spans="1:15">
      <c r="A459" s="125" t="s">
        <v>321</v>
      </c>
      <c r="C459" s="130"/>
      <c r="E459" s="225"/>
      <c r="F459" s="225"/>
      <c r="G459" s="147"/>
      <c r="I459" s="262"/>
      <c r="J459" s="225"/>
      <c r="K459" s="147"/>
      <c r="L459" s="216"/>
    </row>
    <row r="460" spans="1:15">
      <c r="A460" s="125" t="s">
        <v>322</v>
      </c>
      <c r="C460" s="57">
        <v>83697066</v>
      </c>
      <c r="E460" s="174">
        <v>4.0587999999999997</v>
      </c>
      <c r="F460" s="136" t="s">
        <v>78</v>
      </c>
      <c r="G460" s="114">
        <v>3397097</v>
      </c>
      <c r="I460" s="256">
        <f>I156</f>
        <v>2.18E-2</v>
      </c>
      <c r="J460" s="136"/>
      <c r="K460" s="114">
        <f t="shared" ref="K460:K462" si="58">ROUND(G460*I460,0)</f>
        <v>74057</v>
      </c>
      <c r="L460" s="147"/>
      <c r="O460" s="255">
        <f t="shared" ref="O460:O462" si="59">K460/G460</f>
        <v>2.1800084012908668E-2</v>
      </c>
    </row>
    <row r="461" spans="1:15">
      <c r="A461" s="125" t="s">
        <v>323</v>
      </c>
      <c r="C461" s="57">
        <v>449581129</v>
      </c>
      <c r="E461" s="174">
        <v>3.052</v>
      </c>
      <c r="F461" s="136" t="s">
        <v>78</v>
      </c>
      <c r="G461" s="114">
        <v>13721216</v>
      </c>
      <c r="I461" s="256">
        <f>I157</f>
        <v>2.18E-2</v>
      </c>
      <c r="J461" s="136"/>
      <c r="K461" s="114">
        <f t="shared" si="58"/>
        <v>299123</v>
      </c>
      <c r="L461" s="147"/>
      <c r="O461" s="255">
        <f t="shared" si="59"/>
        <v>2.1800035798576454E-2</v>
      </c>
    </row>
    <row r="462" spans="1:15">
      <c r="A462" s="125" t="s">
        <v>324</v>
      </c>
      <c r="C462" s="203">
        <v>838320905</v>
      </c>
      <c r="E462" s="214">
        <v>2.5488</v>
      </c>
      <c r="F462" s="136" t="s">
        <v>78</v>
      </c>
      <c r="G462" s="180">
        <v>21367123</v>
      </c>
      <c r="I462" s="272">
        <f>I158</f>
        <v>2.18E-2</v>
      </c>
      <c r="J462" s="136"/>
      <c r="K462" s="180">
        <f t="shared" si="58"/>
        <v>465803</v>
      </c>
      <c r="L462" s="147"/>
      <c r="O462" s="255">
        <f t="shared" si="59"/>
        <v>2.1799986830234468E-2</v>
      </c>
    </row>
    <row r="463" spans="1:15" ht="16.5" thickBot="1">
      <c r="A463" s="125" t="s">
        <v>325</v>
      </c>
      <c r="C463" s="169">
        <v>1371599100</v>
      </c>
      <c r="E463" s="219"/>
      <c r="F463" s="172"/>
      <c r="G463" s="164">
        <v>59055879</v>
      </c>
      <c r="I463" s="273"/>
      <c r="J463" s="172"/>
      <c r="K463" s="164">
        <f>SUM(K450:K462)</f>
        <v>1197196</v>
      </c>
      <c r="L463" s="216"/>
      <c r="N463" s="161"/>
    </row>
    <row r="464" spans="1:15" ht="16.5" thickTop="1">
      <c r="C464" s="57"/>
      <c r="E464" s="166"/>
      <c r="F464" s="172"/>
      <c r="I464" s="256"/>
      <c r="J464" s="172"/>
      <c r="L464" s="216"/>
    </row>
    <row r="465" spans="1:12">
      <c r="A465" s="122" t="s">
        <v>326</v>
      </c>
      <c r="C465" s="57"/>
      <c r="E465" s="166"/>
      <c r="F465" s="172"/>
      <c r="I465" s="256"/>
      <c r="J465" s="172"/>
      <c r="L465" s="114"/>
    </row>
    <row r="466" spans="1:12">
      <c r="A466" s="149" t="s">
        <v>327</v>
      </c>
      <c r="B466" s="109"/>
      <c r="C466" s="57">
        <v>1</v>
      </c>
      <c r="E466" s="54"/>
      <c r="F466" s="126"/>
      <c r="G466" s="114"/>
      <c r="I466" s="255"/>
      <c r="J466" s="126"/>
      <c r="K466" s="114"/>
      <c r="L466" s="147"/>
    </row>
    <row r="467" spans="1:12">
      <c r="A467" s="149" t="s">
        <v>328</v>
      </c>
      <c r="B467" s="109"/>
      <c r="C467" s="57">
        <v>972</v>
      </c>
      <c r="E467" s="209">
        <v>17.775099999999998</v>
      </c>
      <c r="F467" s="210"/>
      <c r="G467" s="114">
        <v>17277</v>
      </c>
      <c r="I467" s="255"/>
      <c r="J467" s="210"/>
      <c r="K467" s="114"/>
      <c r="L467" s="147"/>
    </row>
    <row r="468" spans="1:12">
      <c r="A468" s="149" t="s">
        <v>105</v>
      </c>
      <c r="B468" s="109"/>
      <c r="C468" s="57">
        <v>135421</v>
      </c>
      <c r="E468" s="160"/>
      <c r="F468" s="136"/>
      <c r="G468" s="114"/>
      <c r="I468" s="262"/>
      <c r="J468" s="136"/>
      <c r="K468" s="114"/>
    </row>
    <row r="469" spans="1:12">
      <c r="A469" s="108" t="s">
        <v>149</v>
      </c>
      <c r="C469" s="194">
        <v>0</v>
      </c>
      <c r="E469" s="166"/>
      <c r="F469" s="172"/>
      <c r="G469" s="154">
        <v>0</v>
      </c>
      <c r="I469" s="256"/>
      <c r="J469" s="172"/>
      <c r="K469" s="154"/>
      <c r="L469" s="114"/>
    </row>
    <row r="470" spans="1:12" ht="16.5" thickBot="1">
      <c r="A470" s="149" t="s">
        <v>94</v>
      </c>
      <c r="B470" s="109"/>
      <c r="C470" s="169">
        <v>135421</v>
      </c>
      <c r="E470" s="219"/>
      <c r="F470" s="172"/>
      <c r="G470" s="164">
        <v>17277</v>
      </c>
      <c r="I470" s="273"/>
      <c r="J470" s="172"/>
      <c r="K470" s="164">
        <f>SUM(K466:K469)</f>
        <v>0</v>
      </c>
      <c r="L470" s="114"/>
    </row>
    <row r="471" spans="1:12" ht="16.5" thickTop="1">
      <c r="A471" s="149"/>
      <c r="B471" s="109"/>
      <c r="C471" s="130"/>
      <c r="E471" s="172"/>
      <c r="F471" s="172"/>
      <c r="G471" s="147"/>
      <c r="I471" s="266"/>
      <c r="J471" s="172"/>
      <c r="K471" s="147"/>
      <c r="L471" s="147"/>
    </row>
    <row r="472" spans="1:12">
      <c r="A472" s="122" t="s">
        <v>329</v>
      </c>
      <c r="C472" s="57"/>
      <c r="L472" s="147"/>
    </row>
    <row r="473" spans="1:12">
      <c r="A473" s="125" t="s">
        <v>330</v>
      </c>
      <c r="C473" s="57">
        <v>62</v>
      </c>
      <c r="E473" s="54">
        <v>2.1800000000000002</v>
      </c>
      <c r="F473" s="126"/>
      <c r="G473" s="114">
        <v>135</v>
      </c>
      <c r="I473" s="255"/>
      <c r="J473" s="126"/>
      <c r="K473" s="114"/>
      <c r="L473" s="109"/>
    </row>
    <row r="474" spans="1:12">
      <c r="A474" s="125" t="s">
        <v>331</v>
      </c>
      <c r="C474" s="203">
        <v>213</v>
      </c>
      <c r="E474" s="226">
        <v>2.1858</v>
      </c>
      <c r="F474" s="136"/>
      <c r="G474" s="180">
        <v>466</v>
      </c>
      <c r="I474" s="272"/>
      <c r="J474" s="136"/>
      <c r="K474" s="180"/>
    </row>
    <row r="475" spans="1:12">
      <c r="A475" s="125" t="s">
        <v>223</v>
      </c>
      <c r="C475" s="58">
        <v>275</v>
      </c>
      <c r="E475" s="189"/>
      <c r="G475" s="154">
        <v>601</v>
      </c>
      <c r="I475" s="265"/>
      <c r="K475" s="154"/>
      <c r="L475" s="196"/>
    </row>
    <row r="476" spans="1:12" ht="16.5" thickBot="1">
      <c r="A476" s="125" t="s">
        <v>332</v>
      </c>
      <c r="C476" s="193">
        <v>7972.13</v>
      </c>
      <c r="E476" s="163"/>
      <c r="G476" s="163"/>
      <c r="I476" s="263"/>
      <c r="K476" s="163"/>
    </row>
    <row r="477" spans="1:12" ht="16.5" thickTop="1">
      <c r="A477" s="125" t="s">
        <v>8</v>
      </c>
      <c r="C477" s="120">
        <v>5</v>
      </c>
    </row>
    <row r="478" spans="1:12">
      <c r="A478" s="125" t="s">
        <v>149</v>
      </c>
      <c r="C478" s="194">
        <v>0</v>
      </c>
      <c r="E478" s="189"/>
      <c r="G478" s="154"/>
      <c r="I478" s="265"/>
      <c r="K478" s="154"/>
      <c r="L478" s="114"/>
    </row>
    <row r="479" spans="1:12" ht="16.5" thickBot="1">
      <c r="A479" s="125" t="s">
        <v>224</v>
      </c>
      <c r="C479" s="193">
        <v>7972.13</v>
      </c>
      <c r="E479" s="195"/>
      <c r="F479" s="196"/>
      <c r="G479" s="195">
        <v>601</v>
      </c>
      <c r="I479" s="267"/>
      <c r="J479" s="196"/>
      <c r="K479" s="195">
        <f>K478+K475</f>
        <v>0</v>
      </c>
      <c r="L479" s="114"/>
    </row>
    <row r="480" spans="1:12" ht="16.5" thickTop="1">
      <c r="C480" s="57"/>
      <c r="L480" s="114"/>
    </row>
    <row r="481" spans="1:14">
      <c r="A481" s="107" t="s">
        <v>333</v>
      </c>
      <c r="B481" s="109"/>
      <c r="E481" s="166"/>
      <c r="F481" s="172"/>
      <c r="I481" s="256"/>
      <c r="J481" s="172"/>
      <c r="L481" s="114"/>
    </row>
    <row r="482" spans="1:14">
      <c r="A482" s="149" t="s">
        <v>334</v>
      </c>
      <c r="B482" s="109"/>
      <c r="C482" s="227"/>
      <c r="E482" s="166"/>
      <c r="F482" s="172"/>
      <c r="G482" s="114">
        <v>36561</v>
      </c>
      <c r="I482" s="256"/>
      <c r="J482" s="172"/>
      <c r="K482" s="114"/>
      <c r="L482" s="114"/>
    </row>
    <row r="483" spans="1:14">
      <c r="A483" s="149" t="s">
        <v>335</v>
      </c>
      <c r="B483" s="109"/>
      <c r="C483" s="227"/>
      <c r="E483" s="166"/>
      <c r="F483" s="172"/>
      <c r="G483" s="114">
        <v>3441281.67</v>
      </c>
      <c r="I483" s="256"/>
      <c r="J483" s="172"/>
      <c r="K483" s="114"/>
      <c r="L483" s="147"/>
    </row>
    <row r="484" spans="1:14">
      <c r="A484" s="149" t="s">
        <v>336</v>
      </c>
      <c r="B484" s="109"/>
      <c r="C484" s="227"/>
      <c r="E484" s="166"/>
      <c r="F484" s="172"/>
      <c r="G484" s="114">
        <v>842690.75999999989</v>
      </c>
      <c r="I484" s="256"/>
      <c r="J484" s="172"/>
      <c r="K484" s="114"/>
      <c r="L484" s="114"/>
    </row>
    <row r="485" spans="1:14">
      <c r="A485" s="149" t="s">
        <v>337</v>
      </c>
      <c r="B485" s="109"/>
      <c r="C485" s="227"/>
      <c r="E485" s="166"/>
      <c r="F485" s="172"/>
      <c r="G485" s="114">
        <v>206452.67</v>
      </c>
      <c r="I485" s="256"/>
      <c r="J485" s="172"/>
      <c r="K485" s="114"/>
      <c r="L485" s="114"/>
    </row>
    <row r="486" spans="1:14">
      <c r="A486" s="149" t="s">
        <v>338</v>
      </c>
      <c r="B486" s="109"/>
      <c r="C486" s="227"/>
      <c r="E486" s="166"/>
      <c r="F486" s="172"/>
      <c r="G486" s="114">
        <v>4661.6400000000003</v>
      </c>
      <c r="I486" s="256"/>
      <c r="J486" s="172"/>
      <c r="K486" s="114"/>
      <c r="L486" s="114"/>
    </row>
    <row r="487" spans="1:14">
      <c r="A487" s="149" t="s">
        <v>339</v>
      </c>
      <c r="B487" s="109"/>
      <c r="C487" s="227"/>
      <c r="E487" s="166"/>
      <c r="F487" s="172"/>
      <c r="G487" s="114">
        <v>0</v>
      </c>
      <c r="I487" s="256"/>
      <c r="J487" s="172"/>
      <c r="K487" s="114"/>
      <c r="L487" s="147"/>
    </row>
    <row r="488" spans="1:14" ht="16.5" thickBot="1">
      <c r="A488" s="149" t="s">
        <v>340</v>
      </c>
      <c r="B488" s="109"/>
      <c r="C488" s="229"/>
      <c r="E488" s="223"/>
      <c r="F488" s="172"/>
      <c r="G488" s="158">
        <v>4531647.7399999993</v>
      </c>
      <c r="I488" s="275"/>
      <c r="J488" s="172"/>
      <c r="K488" s="158"/>
    </row>
    <row r="489" spans="1:14" ht="16.5" thickTop="1">
      <c r="A489" s="109"/>
      <c r="B489" s="109"/>
      <c r="E489" s="166"/>
      <c r="F489" s="172"/>
      <c r="G489" s="114"/>
      <c r="I489" s="256"/>
      <c r="J489" s="172"/>
      <c r="K489" s="114"/>
      <c r="M489" s="166"/>
      <c r="N489" s="228"/>
    </row>
    <row r="490" spans="1:14" ht="16.5" thickBot="1">
      <c r="A490" s="157" t="s">
        <v>341</v>
      </c>
      <c r="B490" s="157"/>
      <c r="C490" s="229">
        <v>23734642546.710003</v>
      </c>
      <c r="E490" s="157"/>
      <c r="G490" s="158">
        <v>1772847498.4491665</v>
      </c>
      <c r="I490" s="261"/>
      <c r="K490" s="158">
        <f>K25+K42+K61+K73+K85+K97+K137+K149+K160+K168+K184+K200+K252+K346+K355+K361+K378+K391+K434+K442+K447+K463+K470+K479+K488</f>
        <v>28892911</v>
      </c>
      <c r="M490" s="166"/>
      <c r="N490" s="228"/>
    </row>
    <row r="491" spans="1:14" ht="16.5" thickTop="1"/>
  </sheetData>
  <printOptions horizontalCentered="1"/>
  <pageMargins left="1" right="0.5" top="1" bottom="0.5" header="0.25" footer="0.25"/>
  <pageSetup scale="65" fitToHeight="88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54"/>
  <sheetViews>
    <sheetView topLeftCell="A28" zoomScale="70" zoomScaleNormal="70" workbookViewId="0">
      <selection activeCell="M54" sqref="M54"/>
    </sheetView>
  </sheetViews>
  <sheetFormatPr defaultRowHeight="15.75"/>
  <cols>
    <col min="1" max="1" width="4.625" style="5" customWidth="1"/>
    <col min="2" max="2" width="1.625" style="5" customWidth="1"/>
    <col min="3" max="3" width="35.625" style="5" customWidth="1"/>
    <col min="4" max="4" width="1.5" style="22" customWidth="1"/>
    <col min="5" max="5" width="7.5" style="5" bestFit="1" customWidth="1"/>
    <col min="6" max="6" width="0.75" style="22" customWidth="1"/>
    <col min="7" max="7" width="10.625" style="22" bestFit="1" customWidth="1"/>
    <col min="8" max="8" width="0.75" style="22" customWidth="1"/>
    <col min="9" max="9" width="12.25" style="22" bestFit="1" customWidth="1"/>
    <col min="10" max="10" width="1.75" style="22" customWidth="1"/>
    <col min="11" max="11" width="12.25" style="22" bestFit="1" customWidth="1"/>
    <col min="12" max="12" width="1.75" style="22" customWidth="1"/>
    <col min="13" max="13" width="13.625" style="22" customWidth="1"/>
    <col min="14" max="14" width="1.75" style="22" customWidth="1"/>
    <col min="15" max="15" width="8.25" style="23" bestFit="1" customWidth="1"/>
    <col min="16" max="16384" width="9" style="5"/>
  </cols>
  <sheetData>
    <row r="1" spans="1:15">
      <c r="A1" s="1" t="s">
        <v>0</v>
      </c>
      <c r="B1" s="1"/>
      <c r="C1" s="1"/>
      <c r="D1" s="2"/>
      <c r="E1" s="1"/>
      <c r="F1" s="2"/>
      <c r="G1" s="2"/>
      <c r="H1" s="2"/>
      <c r="I1" s="2"/>
      <c r="J1" s="2"/>
      <c r="K1" s="3"/>
      <c r="L1" s="2"/>
      <c r="M1" s="3"/>
      <c r="N1" s="2"/>
      <c r="O1" s="4"/>
    </row>
    <row r="2" spans="1:15" s="7" customFormat="1">
      <c r="A2" s="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7" customFormat="1">
      <c r="A3" s="1" t="s">
        <v>383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7" customFormat="1">
      <c r="A4" s="1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7" customFormat="1">
      <c r="A5" s="1" t="s">
        <v>343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1" t="s">
        <v>344</v>
      </c>
      <c r="B6" s="6"/>
      <c r="C6" s="6"/>
      <c r="D6" s="6"/>
      <c r="E6" s="6"/>
      <c r="F6" s="6"/>
      <c r="G6" s="6"/>
      <c r="H6" s="6"/>
      <c r="I6" s="6"/>
      <c r="J6" s="6"/>
      <c r="K6" s="6"/>
      <c r="L6" s="3"/>
      <c r="M6" s="8"/>
      <c r="N6" s="8"/>
      <c r="O6" s="8"/>
    </row>
    <row r="7" spans="1:15">
      <c r="A7" s="1"/>
      <c r="B7" s="1"/>
      <c r="C7" s="1"/>
      <c r="D7" s="2"/>
      <c r="E7" s="1"/>
      <c r="F7" s="2"/>
      <c r="G7" s="2"/>
      <c r="H7" s="2"/>
      <c r="I7" s="2"/>
      <c r="J7" s="2"/>
      <c r="K7" s="3"/>
      <c r="L7" s="2"/>
      <c r="M7" s="3"/>
      <c r="N7" s="2"/>
      <c r="O7" s="4"/>
    </row>
    <row r="8" spans="1:15" ht="12" customHeight="1">
      <c r="A8" s="1"/>
      <c r="B8" s="1"/>
      <c r="C8" s="1"/>
      <c r="D8" s="2"/>
      <c r="E8" s="1"/>
      <c r="F8" s="2"/>
      <c r="G8" s="2"/>
      <c r="H8" s="2"/>
      <c r="I8" s="2"/>
      <c r="J8" s="2"/>
      <c r="K8" s="3"/>
      <c r="L8" s="2"/>
      <c r="M8" s="3"/>
      <c r="N8" s="2"/>
      <c r="O8" s="4"/>
    </row>
    <row r="9" spans="1:15">
      <c r="D9" s="9"/>
      <c r="E9" s="10"/>
      <c r="F9" s="9"/>
      <c r="G9" s="9" t="s">
        <v>3</v>
      </c>
      <c r="H9" s="9"/>
      <c r="I9" s="9"/>
      <c r="J9" s="9"/>
      <c r="K9" s="11" t="s">
        <v>4</v>
      </c>
      <c r="L9" s="9"/>
      <c r="M9" s="11" t="s">
        <v>5</v>
      </c>
      <c r="N9" s="12"/>
      <c r="O9" s="12"/>
    </row>
    <row r="10" spans="1:15" s="13" customFormat="1">
      <c r="A10" s="13" t="s">
        <v>6</v>
      </c>
      <c r="D10" s="9"/>
      <c r="E10" s="10" t="s">
        <v>7</v>
      </c>
      <c r="F10" s="9"/>
      <c r="G10" s="11" t="s">
        <v>8</v>
      </c>
      <c r="H10" s="9"/>
      <c r="I10" s="9" t="s">
        <v>9</v>
      </c>
      <c r="J10" s="11"/>
      <c r="K10" s="9" t="s">
        <v>10</v>
      </c>
      <c r="L10" s="11"/>
      <c r="M10" s="11" t="s">
        <v>368</v>
      </c>
      <c r="N10" s="12"/>
      <c r="O10" s="14"/>
    </row>
    <row r="11" spans="1:15" s="13" customFormat="1">
      <c r="A11" s="13" t="s">
        <v>11</v>
      </c>
      <c r="C11" s="10" t="s">
        <v>12</v>
      </c>
      <c r="E11" s="15" t="s">
        <v>11</v>
      </c>
      <c r="G11" s="16" t="s">
        <v>13</v>
      </c>
      <c r="I11" s="16" t="s">
        <v>13</v>
      </c>
      <c r="K11" s="17" t="s">
        <v>14</v>
      </c>
      <c r="M11" s="17" t="s">
        <v>14</v>
      </c>
      <c r="O11" s="18" t="s">
        <v>16</v>
      </c>
    </row>
    <row r="12" spans="1:15" s="13" customFormat="1">
      <c r="C12" s="19">
        <v>-1</v>
      </c>
      <c r="D12" s="20"/>
      <c r="E12" s="19">
        <f>MIN($A12:D12)-1</f>
        <v>-2</v>
      </c>
      <c r="F12" s="20"/>
      <c r="G12" s="19">
        <f>MIN($A12:F12)-1</f>
        <v>-3</v>
      </c>
      <c r="H12" s="20"/>
      <c r="I12" s="19">
        <f>MIN($A12:H12)-1</f>
        <v>-4</v>
      </c>
      <c r="J12" s="20"/>
      <c r="K12" s="19">
        <f>MIN($A12:J12)-1</f>
        <v>-5</v>
      </c>
      <c r="L12" s="20"/>
      <c r="M12" s="19">
        <f>MIN($A12:L12)-1</f>
        <v>-6</v>
      </c>
      <c r="N12" s="20"/>
      <c r="O12" s="19">
        <f>MIN($A12:N12)-1</f>
        <v>-7</v>
      </c>
    </row>
    <row r="13" spans="1:15" s="13" customFormat="1">
      <c r="D13" s="21"/>
      <c r="F13" s="21"/>
      <c r="G13" s="21"/>
      <c r="H13" s="21"/>
      <c r="I13" s="21"/>
      <c r="J13" s="21"/>
      <c r="K13" s="21"/>
      <c r="L13" s="21"/>
      <c r="M13" s="21"/>
      <c r="N13" s="21"/>
      <c r="O13" s="9" t="str">
        <f>"(" &amp; -M12 &amp; ")/(" &amp; -K12 &amp; ")"</f>
        <v>(6)/(5)</v>
      </c>
    </row>
    <row r="14" spans="1:15" ht="18.75" customHeight="1">
      <c r="C14" s="13" t="s">
        <v>17</v>
      </c>
    </row>
    <row r="15" spans="1:15">
      <c r="A15" s="5">
        <v>1</v>
      </c>
      <c r="C15" s="5" t="s">
        <v>17</v>
      </c>
      <c r="E15" s="24" t="s">
        <v>18</v>
      </c>
      <c r="G15" s="25">
        <v>719579.21600691369</v>
      </c>
      <c r="I15" s="25">
        <f>('Exhibit-RMP(WRG-2R)'!C25+'Exhibit-RMP(WRG-2R)'!C42)/1000</f>
        <v>6618984.2947154995</v>
      </c>
      <c r="K15" s="26">
        <f>('Exhibit-RMP(WRG-2R)'!G25+'Exhibit-RMP(WRG-2R)'!G42)/1000</f>
        <v>649669.90700000001</v>
      </c>
      <c r="L15" s="27"/>
      <c r="M15" s="26">
        <f>K15/(K15+K16)*M18</f>
        <v>11273.725704586564</v>
      </c>
      <c r="O15" s="251">
        <f>M15/K15</f>
        <v>1.7353005862077837E-2</v>
      </c>
    </row>
    <row r="16" spans="1:15">
      <c r="A16" s="5">
        <f>MAX(A$14:A15)+1</f>
        <v>2</v>
      </c>
      <c r="C16" s="5" t="s">
        <v>19</v>
      </c>
      <c r="E16" s="28">
        <v>2</v>
      </c>
      <c r="G16" s="25">
        <v>360.45065975289282</v>
      </c>
      <c r="I16" s="25">
        <f>'Exhibit-RMP(WRG-2R)'!C61/1000</f>
        <v>3259.9751844998164</v>
      </c>
      <c r="K16" s="26">
        <f>('Exhibit-RMP(WRG-2R)'!G61)/1000</f>
        <v>310.99200000000002</v>
      </c>
      <c r="L16" s="27"/>
      <c r="M16" s="26">
        <f>M18-M15</f>
        <v>5.3966459990588191</v>
      </c>
      <c r="O16" s="251">
        <f>M16/K16</f>
        <v>1.7353005862076255E-2</v>
      </c>
    </row>
    <row r="17" spans="1:15">
      <c r="A17" s="5">
        <f>MAX(A$14:A16)+1</f>
        <v>3</v>
      </c>
      <c r="C17" s="29" t="s">
        <v>20</v>
      </c>
      <c r="E17" s="30" t="s">
        <v>21</v>
      </c>
      <c r="G17" s="31"/>
      <c r="I17" s="31"/>
      <c r="K17" s="32">
        <v>36.561</v>
      </c>
      <c r="L17" s="27"/>
      <c r="M17" s="32"/>
      <c r="O17" s="252"/>
    </row>
    <row r="18" spans="1:15">
      <c r="A18" s="5">
        <f>MAX(A$14:A17)+1</f>
        <v>4</v>
      </c>
      <c r="C18" s="13" t="s">
        <v>22</v>
      </c>
      <c r="G18" s="25">
        <f>SUM(G15:G17)</f>
        <v>719939.66666666663</v>
      </c>
      <c r="I18" s="25">
        <f>SUM(I15:I17)</f>
        <v>6622244.2698999997</v>
      </c>
      <c r="K18" s="26">
        <f>SUM(K15:K17)</f>
        <v>650017.46</v>
      </c>
      <c r="L18" s="27"/>
      <c r="M18" s="26">
        <f>Stipulation!M7</f>
        <v>11279.122350585623</v>
      </c>
      <c r="O18" s="251">
        <f>M18/K18</f>
        <v>1.7352029821761442E-2</v>
      </c>
    </row>
    <row r="19" spans="1:15" ht="24.75" customHeight="1">
      <c r="C19" s="13" t="s">
        <v>23</v>
      </c>
      <c r="G19" s="25"/>
      <c r="I19" s="25"/>
      <c r="K19" s="34"/>
      <c r="L19" s="27"/>
      <c r="M19" s="26"/>
      <c r="O19" s="251"/>
    </row>
    <row r="20" spans="1:15">
      <c r="A20" s="5">
        <f>MAX(A$14:A19)+1</f>
        <v>5</v>
      </c>
      <c r="C20" s="5" t="s">
        <v>24</v>
      </c>
      <c r="E20" s="35">
        <v>6</v>
      </c>
      <c r="G20" s="25">
        <v>13479.916666666668</v>
      </c>
      <c r="I20" s="25">
        <f>SUM('Exhibit-RMP(WRG-2R)'!C73)/1000</f>
        <v>5746434.2788172225</v>
      </c>
      <c r="K20" s="26">
        <f>('Exhibit-RMP(WRG-2R)'!G73)/1000</f>
        <v>443566.413</v>
      </c>
      <c r="L20" s="27"/>
      <c r="M20" s="26">
        <f>$M$23*K20/$K$23</f>
        <v>6610.2754494077744</v>
      </c>
      <c r="O20" s="251">
        <f t="shared" ref="O20:O36" si="0">M20/K20</f>
        <v>1.4902560824432337E-2</v>
      </c>
    </row>
    <row r="21" spans="1:15">
      <c r="A21" s="5">
        <f>MAX(A$14:A20)+1</f>
        <v>6</v>
      </c>
      <c r="C21" s="5" t="s">
        <v>25</v>
      </c>
      <c r="E21" s="28" t="s">
        <v>26</v>
      </c>
      <c r="G21" s="25">
        <v>2394.25</v>
      </c>
      <c r="I21" s="25">
        <f>SUM('Exhibit-RMP(WRG-2R)'!C97)/1000</f>
        <v>277735.08199999999</v>
      </c>
      <c r="K21" s="26">
        <f>('Exhibit-RMP(WRG-2R)'!G97)/1000</f>
        <v>29859.053</v>
      </c>
      <c r="L21" s="27"/>
      <c r="M21" s="26">
        <f>$M$23*K21/$K$23</f>
        <v>444.97635349244882</v>
      </c>
      <c r="O21" s="251">
        <f t="shared" si="0"/>
        <v>1.4902560824432337E-2</v>
      </c>
    </row>
    <row r="22" spans="1:15">
      <c r="A22" s="5">
        <f>MAX(A$14:A21)+1</f>
        <v>7</v>
      </c>
      <c r="C22" s="5" t="s">
        <v>27</v>
      </c>
      <c r="E22" s="28" t="s">
        <v>28</v>
      </c>
      <c r="G22" s="36">
        <v>32</v>
      </c>
      <c r="I22" s="36">
        <f>'Exhibit-RMP(WRG-2R)'!C85/1000</f>
        <v>21133.17</v>
      </c>
      <c r="K22" s="32">
        <f>'Exhibit-RMP(WRG-2R)'!G85/1000</f>
        <v>1657.327</v>
      </c>
      <c r="L22" s="27"/>
      <c r="M22" s="32">
        <f>M23-M20-M21</f>
        <v>24.698416423474384</v>
      </c>
      <c r="O22" s="252">
        <f t="shared" si="0"/>
        <v>1.4902560824432585E-2</v>
      </c>
    </row>
    <row r="23" spans="1:15">
      <c r="A23" s="5">
        <f>MAX(A$14:A22)+1</f>
        <v>8</v>
      </c>
      <c r="C23" s="37" t="s">
        <v>29</v>
      </c>
      <c r="G23" s="25">
        <f>SUM(G20:G22)</f>
        <v>15906.166666666668</v>
      </c>
      <c r="I23" s="25">
        <f>SUM(I20:I22)</f>
        <v>6045302.5308172228</v>
      </c>
      <c r="K23" s="26">
        <f>SUM(K20:K22)</f>
        <v>475082.79300000001</v>
      </c>
      <c r="L23" s="27"/>
      <c r="M23" s="26">
        <f>Stipulation!M8</f>
        <v>7079.9502193236976</v>
      </c>
      <c r="O23" s="251">
        <f t="shared" si="0"/>
        <v>1.4902560824432337E-2</v>
      </c>
    </row>
    <row r="24" spans="1:15" ht="23.1" customHeight="1">
      <c r="A24" s="5">
        <f>MAX(A$14:A23)+1</f>
        <v>9</v>
      </c>
      <c r="C24" s="29" t="s">
        <v>30</v>
      </c>
      <c r="E24" s="5">
        <v>8</v>
      </c>
      <c r="F24" s="25"/>
      <c r="G24" s="25">
        <v>297.08333333333331</v>
      </c>
      <c r="I24" s="25">
        <f>'Exhibit-RMP(WRG-2R)'!C149/1000</f>
        <v>2076915.6910000001</v>
      </c>
      <c r="K24" s="26">
        <f>('Exhibit-RMP(WRG-2R)'!G149)/1000</f>
        <v>141558.614</v>
      </c>
      <c r="L24" s="27"/>
      <c r="M24" s="26">
        <f>Stipulation!M9</f>
        <v>2440.5017296660103</v>
      </c>
      <c r="O24" s="251">
        <f t="shared" si="0"/>
        <v>1.7240220575104038E-2</v>
      </c>
    </row>
    <row r="25" spans="1:15" ht="23.1" customHeight="1">
      <c r="A25" s="5">
        <f>MAX(A$14:A24)+1</f>
        <v>10</v>
      </c>
      <c r="C25" s="5" t="s">
        <v>31</v>
      </c>
      <c r="E25" s="5">
        <v>9</v>
      </c>
      <c r="G25" s="25">
        <v>142.5</v>
      </c>
      <c r="I25" s="25">
        <f>('Exhibit-RMP(WRG-2R)'!C160)/1000</f>
        <v>4538067.2419739999</v>
      </c>
      <c r="K25" s="26">
        <f>('Exhibit-RMP(WRG-2R)'!G160)/1000</f>
        <v>226409.34400000001</v>
      </c>
      <c r="L25" s="27"/>
      <c r="M25" s="26">
        <f>M27*K25/K27</f>
        <v>4534.6688008188194</v>
      </c>
      <c r="O25" s="251">
        <f t="shared" si="0"/>
        <v>2.0028629210722061E-2</v>
      </c>
    </row>
    <row r="26" spans="1:15">
      <c r="A26" s="5">
        <f>MAX(A$14:A25)+1</f>
        <v>11</v>
      </c>
      <c r="C26" s="5" t="s">
        <v>32</v>
      </c>
      <c r="E26" s="28" t="s">
        <v>33</v>
      </c>
      <c r="G26" s="36">
        <v>8.9999986111111081</v>
      </c>
      <c r="I26" s="36">
        <f>'Exhibit-RMP(WRG-2R)'!C168/1000</f>
        <v>42717.705999999998</v>
      </c>
      <c r="K26" s="32">
        <f>'Exhibit-RMP(WRG-2R)'!G168/1000</f>
        <v>2911.8290000000002</v>
      </c>
      <c r="L26" s="27"/>
      <c r="M26" s="32">
        <f>M27-M25</f>
        <v>58.319943366027474</v>
      </c>
      <c r="O26" s="252">
        <f t="shared" si="0"/>
        <v>2.0028629210722012E-2</v>
      </c>
    </row>
    <row r="27" spans="1:15">
      <c r="A27" s="5">
        <f>MAX(A$14:A26)+1</f>
        <v>12</v>
      </c>
      <c r="C27" s="37" t="s">
        <v>34</v>
      </c>
      <c r="G27" s="25">
        <f>SUM(G25:G26)</f>
        <v>151.4999986111111</v>
      </c>
      <c r="I27" s="25">
        <f>SUM(I25:I26)</f>
        <v>4580784.9479740001</v>
      </c>
      <c r="K27" s="26">
        <f>SUM(K25:K26)</f>
        <v>229321.17300000001</v>
      </c>
      <c r="L27" s="27"/>
      <c r="M27" s="26">
        <f>Stipulation!M11</f>
        <v>4592.9887441848468</v>
      </c>
      <c r="O27" s="251">
        <f t="shared" si="0"/>
        <v>2.0028629210722057E-2</v>
      </c>
    </row>
    <row r="28" spans="1:15" ht="23.1" customHeight="1">
      <c r="A28" s="5">
        <f>MAX(A$14:A27)+1</f>
        <v>13</v>
      </c>
      <c r="C28" s="5" t="s">
        <v>35</v>
      </c>
      <c r="E28" s="28">
        <v>10</v>
      </c>
      <c r="G28" s="25">
        <f>'Exhibit-RMP(WRG-2R)'!C171+'Exhibit-RMP(WRG-2R)'!C172</f>
        <v>2647</v>
      </c>
      <c r="I28" s="25">
        <f>'Exhibit-RMP(WRG-2R)'!C184/1000</f>
        <v>170955.53200000001</v>
      </c>
      <c r="K28" s="26">
        <f>('Exhibit-RMP(WRG-2R)'!G184)/1000</f>
        <v>11991.091</v>
      </c>
      <c r="L28" s="27"/>
      <c r="M28" s="26">
        <f>M30*K28/K30</f>
        <v>201.63249181299153</v>
      </c>
      <c r="O28" s="251">
        <f t="shared" si="0"/>
        <v>1.6815191529527339E-2</v>
      </c>
    </row>
    <row r="29" spans="1:15">
      <c r="A29" s="5">
        <f>MAX(A$14:A28)+1</f>
        <v>14</v>
      </c>
      <c r="C29" s="5" t="s">
        <v>36</v>
      </c>
      <c r="E29" s="28" t="s">
        <v>37</v>
      </c>
      <c r="G29" s="36">
        <f>'Exhibit-RMP(WRG-2R)'!C187+'Exhibit-RMP(WRG-2R)'!C188</f>
        <v>263</v>
      </c>
      <c r="I29" s="36">
        <f>'Exhibit-RMP(WRG-2R)'!C200/1000</f>
        <v>16324.472</v>
      </c>
      <c r="K29" s="32">
        <f>('Exhibit-RMP(WRG-2R)'!G200)/1000</f>
        <v>1183.432</v>
      </c>
      <c r="L29" s="27"/>
      <c r="M29" s="32">
        <f>M30-M28</f>
        <v>19.899635742171625</v>
      </c>
      <c r="O29" s="252">
        <f t="shared" si="0"/>
        <v>1.6815191529527363E-2</v>
      </c>
    </row>
    <row r="30" spans="1:15">
      <c r="A30" s="5">
        <f>MAX(A$14:A29)+1</f>
        <v>15</v>
      </c>
      <c r="C30" s="37" t="s">
        <v>38</v>
      </c>
      <c r="G30" s="25">
        <f>SUM(G28:G29)</f>
        <v>2910</v>
      </c>
      <c r="I30" s="25">
        <f>SUM(I28:I29)</f>
        <v>187280.00400000002</v>
      </c>
      <c r="K30" s="26">
        <f>SUM(K28:K29)</f>
        <v>13174.523000000001</v>
      </c>
      <c r="L30" s="27"/>
      <c r="M30" s="26">
        <f>Stipulation!M12</f>
        <v>221.53212755516316</v>
      </c>
      <c r="O30" s="251">
        <f t="shared" si="0"/>
        <v>1.6815191529527342E-2</v>
      </c>
    </row>
    <row r="31" spans="1:15" ht="23.1" customHeight="1">
      <c r="A31" s="5">
        <f>MAX(A$14:A30)+1</f>
        <v>16</v>
      </c>
      <c r="C31" s="5" t="s">
        <v>39</v>
      </c>
      <c r="E31" s="5">
        <v>21</v>
      </c>
      <c r="G31" s="25">
        <v>5</v>
      </c>
      <c r="I31" s="25">
        <f>'Exhibit-RMP(WRG-2R)'!C378/1000</f>
        <v>3287.9389999999999</v>
      </c>
      <c r="K31" s="26">
        <f>('Exhibit-RMP(WRG-2R)'!G378)/1000</f>
        <v>342.79199999999997</v>
      </c>
      <c r="L31" s="27"/>
      <c r="M31" s="26">
        <f>Stipulation!M15</f>
        <v>6.8568373092246331</v>
      </c>
      <c r="O31" s="251">
        <f t="shared" si="0"/>
        <v>2.0002909371352406E-2</v>
      </c>
    </row>
    <row r="32" spans="1:15">
      <c r="A32" s="5">
        <f>MAX(A$14:A31)+1</f>
        <v>17</v>
      </c>
      <c r="C32" s="5" t="s">
        <v>40</v>
      </c>
      <c r="E32" s="35">
        <v>23</v>
      </c>
      <c r="G32" s="25">
        <v>78052</v>
      </c>
      <c r="I32" s="25">
        <f>SUM('Exhibit-RMP(WRG-2R)'!C391)/1000</f>
        <v>1419326.149632778</v>
      </c>
      <c r="K32" s="26">
        <f>('Exhibit-RMP(WRG-2R)'!G391)/1000</f>
        <v>129897.91099999999</v>
      </c>
      <c r="L32" s="27"/>
      <c r="M32" s="26">
        <f>Stipulation!M16</f>
        <v>1935.8115196441972</v>
      </c>
      <c r="O32" s="251">
        <f t="shared" si="0"/>
        <v>1.490256082443233E-2</v>
      </c>
    </row>
    <row r="33" spans="1:15">
      <c r="A33" s="5">
        <f>MAX(A$14:A32)+1</f>
        <v>18</v>
      </c>
      <c r="C33" s="5" t="s">
        <v>43</v>
      </c>
      <c r="E33" s="5">
        <v>31</v>
      </c>
      <c r="G33" s="25">
        <v>4</v>
      </c>
      <c r="I33" s="25">
        <f>'Exhibit-RMP(WRG-2R)'!C434/1000</f>
        <v>59778.839026000001</v>
      </c>
      <c r="K33" s="26">
        <f>'Exhibit-RMP(WRG-2R)'!G434/1000</f>
        <v>4870.0309999999999</v>
      </c>
      <c r="L33" s="27"/>
      <c r="M33" s="26">
        <f>Stipulation!M17</f>
        <v>83.96040864759442</v>
      </c>
      <c r="O33" s="251">
        <f t="shared" si="0"/>
        <v>1.7240220575104024E-2</v>
      </c>
    </row>
    <row r="34" spans="1:15">
      <c r="A34" s="5">
        <f>MAX(A$14:A33)+1</f>
        <v>19</v>
      </c>
      <c r="C34" s="29" t="s">
        <v>44</v>
      </c>
      <c r="E34" s="28" t="s">
        <v>21</v>
      </c>
      <c r="G34" s="25">
        <v>1</v>
      </c>
      <c r="I34" s="25">
        <f>'Exhibit-RMP(WRG-2R)'!C442/1000</f>
        <v>543970.59100000001</v>
      </c>
      <c r="K34" s="26">
        <f>('Exhibit-RMP(WRG-2R)'!G442)/1000</f>
        <v>24224.835012471453</v>
      </c>
      <c r="L34" s="27"/>
      <c r="M34" s="26">
        <v>0</v>
      </c>
      <c r="O34" s="251">
        <f t="shared" si="0"/>
        <v>0</v>
      </c>
    </row>
    <row r="35" spans="1:15">
      <c r="A35" s="5">
        <f>MAX(A$14:A34)+1</f>
        <v>20</v>
      </c>
      <c r="C35" s="29" t="s">
        <v>45</v>
      </c>
      <c r="E35" s="28" t="s">
        <v>21</v>
      </c>
      <c r="G35" s="25">
        <v>1</v>
      </c>
      <c r="I35" s="25">
        <f>'Exhibit-RMP(WRG-2R)'!C447/1000</f>
        <v>717800.15174999996</v>
      </c>
      <c r="K35" s="26">
        <f>'Exhibit-RMP(WRG-2R)'!G447/1000</f>
        <v>26946.217696695003</v>
      </c>
      <c r="L35" s="27"/>
      <c r="M35" s="26">
        <v>0</v>
      </c>
      <c r="O35" s="251">
        <f t="shared" si="0"/>
        <v>0</v>
      </c>
    </row>
    <row r="36" spans="1:15">
      <c r="A36" s="5">
        <f>MAX(A$14:A35)+1</f>
        <v>21</v>
      </c>
      <c r="C36" s="29" t="s">
        <v>46</v>
      </c>
      <c r="E36" s="28" t="s">
        <v>21</v>
      </c>
      <c r="G36" s="25">
        <v>1</v>
      </c>
      <c r="I36" s="25">
        <f>'Exhibit-RMP(WRG-2R)'!C463/1000</f>
        <v>1371599.1</v>
      </c>
      <c r="K36" s="26">
        <f>('Exhibit-RMP(WRG-2R)'!G463)/1000</f>
        <v>59055.879000000001</v>
      </c>
      <c r="L36" s="27"/>
      <c r="M36" s="26">
        <f>Stipulation!M22</f>
        <v>1241.300105010419</v>
      </c>
      <c r="O36" s="251">
        <f t="shared" si="0"/>
        <v>2.1019077626639321E-2</v>
      </c>
    </row>
    <row r="37" spans="1:15">
      <c r="A37" s="5">
        <f>MAX(A$14:A36)+1</f>
        <v>22</v>
      </c>
      <c r="C37" s="29" t="s">
        <v>20</v>
      </c>
      <c r="E37" s="30" t="s">
        <v>21</v>
      </c>
      <c r="G37" s="31"/>
      <c r="I37" s="31" t="s">
        <v>21</v>
      </c>
      <c r="K37" s="32">
        <v>4490.4250999999995</v>
      </c>
      <c r="L37" s="27"/>
      <c r="M37" s="32"/>
      <c r="O37" s="252"/>
    </row>
    <row r="38" spans="1:15">
      <c r="A38" s="5">
        <f>MAX(A$14:A37)+1</f>
        <v>23</v>
      </c>
      <c r="C38" s="13" t="s">
        <v>47</v>
      </c>
      <c r="G38" s="25">
        <f>SUM(G20:G22,G24:G26,G28:G29,G31:G37)</f>
        <v>97328.749998611107</v>
      </c>
      <c r="I38" s="25">
        <f>SUM(I20:I22,I24:I26,I28:I29,I31:I37)</f>
        <v>17006045.944200002</v>
      </c>
      <c r="K38" s="26">
        <f>SUM(K20:K22,K24:K26,K28:K29,K31:K37)</f>
        <v>1108965.1938091666</v>
      </c>
      <c r="L38" s="27">
        <f>SUM(L20:L22,L24:L26,L28:L29,L31:L37)</f>
        <v>0</v>
      </c>
      <c r="M38" s="26">
        <f>SUM(M20:M22,M24:M26,M28:M29,M31:M37)</f>
        <v>17602.901691341151</v>
      </c>
      <c r="O38" s="251">
        <f>M38/K38</f>
        <v>1.5873267970545793E-2</v>
      </c>
    </row>
    <row r="39" spans="1:15" ht="31.5">
      <c r="A39" s="5">
        <f>MAX(A$14:A38)+1</f>
        <v>24</v>
      </c>
      <c r="C39" s="38" t="s">
        <v>48</v>
      </c>
      <c r="G39" s="25">
        <f>G38-SUM(G34:G35,G37)</f>
        <v>97326.749998611107</v>
      </c>
      <c r="I39" s="25">
        <f>I38-SUM(I34:I35,I37)</f>
        <v>15744275.201450001</v>
      </c>
      <c r="K39" s="26">
        <f>K38-SUM(K34:K35,K37)</f>
        <v>1053303.716</v>
      </c>
      <c r="L39" s="27">
        <f>L38-SUM(L34:L37)</f>
        <v>0</v>
      </c>
      <c r="M39" s="26">
        <f>M38-SUM(M34:M35,M37)</f>
        <v>17602.901691341151</v>
      </c>
      <c r="O39" s="251">
        <f>M39/K39</f>
        <v>1.6712085435518532E-2</v>
      </c>
    </row>
    <row r="40" spans="1:15" ht="28.5" customHeight="1">
      <c r="C40" s="13" t="s">
        <v>49</v>
      </c>
      <c r="G40" s="25"/>
      <c r="I40" s="25"/>
      <c r="K40" s="26"/>
      <c r="L40" s="27"/>
      <c r="M40" s="26"/>
      <c r="O40" s="251"/>
    </row>
    <row r="41" spans="1:15">
      <c r="A41" s="5">
        <f>MAX(A$14:A40)+1</f>
        <v>25</v>
      </c>
      <c r="C41" s="5" t="s">
        <v>50</v>
      </c>
      <c r="E41" s="5">
        <v>7</v>
      </c>
      <c r="G41" s="25">
        <v>7865</v>
      </c>
      <c r="I41" s="25">
        <f>'Exhibit-RMP(WRG-2R)'!C137/1000</f>
        <v>12321.574480000001</v>
      </c>
      <c r="K41" s="26">
        <f>('Exhibit-RMP(WRG-2R)'!G137)/1000</f>
        <v>2964.7280000000001</v>
      </c>
      <c r="L41" s="27"/>
      <c r="M41" s="26">
        <v>0</v>
      </c>
      <c r="O41" s="251">
        <f t="shared" ref="O41:O48" si="1">M41/K41</f>
        <v>0</v>
      </c>
    </row>
    <row r="42" spans="1:15">
      <c r="A42" s="5">
        <f>MAX(A$14:A41)+1</f>
        <v>26</v>
      </c>
      <c r="C42" s="5" t="s">
        <v>51</v>
      </c>
      <c r="E42" s="5">
        <v>11</v>
      </c>
      <c r="G42" s="25">
        <f>'Exhibit-RMP(WRG-2R)'!C250</f>
        <v>834.33333333333337</v>
      </c>
      <c r="I42" s="25">
        <f>'Exhibit-RMP(WRG-2R)'!C252/1000</f>
        <v>17077.687000000002</v>
      </c>
      <c r="K42" s="26">
        <f>('Exhibit-RMP(WRG-2R)'!G252)/1000</f>
        <v>5089.2430000000004</v>
      </c>
      <c r="L42" s="27"/>
      <c r="M42" s="26">
        <v>0</v>
      </c>
      <c r="O42" s="251">
        <f t="shared" si="1"/>
        <v>0</v>
      </c>
    </row>
    <row r="43" spans="1:15">
      <c r="A43" s="5">
        <f>MAX(A$14:A42)+1</f>
        <v>27</v>
      </c>
      <c r="C43" s="5" t="s">
        <v>52</v>
      </c>
      <c r="E43" s="5">
        <v>12</v>
      </c>
      <c r="G43" s="25">
        <f>'Exhibit-RMP(WRG-2R)'!C344</f>
        <v>781.66666666666674</v>
      </c>
      <c r="I43" s="39">
        <f>'Exhibit-RMP(WRG-2R)'!C346/1000</f>
        <v>55429.428999999996</v>
      </c>
      <c r="K43" s="26">
        <f>('Exhibit-RMP(WRG-2R)'!G346)/1000</f>
        <v>4058.8130000000001</v>
      </c>
      <c r="L43" s="27"/>
      <c r="M43" s="26">
        <v>0</v>
      </c>
      <c r="O43" s="251">
        <f t="shared" si="1"/>
        <v>0</v>
      </c>
    </row>
    <row r="44" spans="1:15">
      <c r="A44" s="40">
        <f>MAX(A$14:A43)+1</f>
        <v>28</v>
      </c>
      <c r="B44" s="40"/>
      <c r="C44" s="40" t="s">
        <v>53</v>
      </c>
      <c r="D44" s="41"/>
      <c r="E44" s="40">
        <v>15</v>
      </c>
      <c r="F44" s="41"/>
      <c r="G44" s="42">
        <f>('Exhibit-RMP(WRG-2R)'!C352)/12</f>
        <v>538.91666666666663</v>
      </c>
      <c r="H44" s="41"/>
      <c r="I44" s="42">
        <f>('Exhibit-RMP(WRG-2R)'!C355)/1000</f>
        <v>15717.486000000001</v>
      </c>
      <c r="J44" s="41"/>
      <c r="K44" s="43">
        <f>('Exhibit-RMP(WRG-2R)'!G355)/1000</f>
        <v>1144.626</v>
      </c>
      <c r="L44" s="44"/>
      <c r="M44" s="43">
        <v>0</v>
      </c>
      <c r="N44" s="41"/>
      <c r="O44" s="253">
        <f t="shared" si="1"/>
        <v>0</v>
      </c>
    </row>
    <row r="45" spans="1:15">
      <c r="A45" s="5">
        <f>MAX(A$14:A44)+1</f>
        <v>29</v>
      </c>
      <c r="C45" s="5" t="s">
        <v>54</v>
      </c>
      <c r="E45" s="5">
        <v>15</v>
      </c>
      <c r="G45" s="36">
        <f>'Exhibit-RMP(WRG-2R)'!C358/12</f>
        <v>2478.6666666666665</v>
      </c>
      <c r="I45" s="36">
        <f>'Exhibit-RMP(WRG-2R)'!C361/1000</f>
        <v>5662.7629999999999</v>
      </c>
      <c r="K45" s="32">
        <f>('Exhibit-RMP(WRG-2R)'!G361)/1000</f>
        <v>584.89400000000001</v>
      </c>
      <c r="L45" s="27"/>
      <c r="M45" s="32">
        <f>Stipulation!M14</f>
        <v>10.083701573054888</v>
      </c>
      <c r="O45" s="252">
        <f t="shared" si="1"/>
        <v>1.7240220575104017E-2</v>
      </c>
    </row>
    <row r="46" spans="1:15">
      <c r="A46" s="5">
        <f>MAX(A$14:A45)+1</f>
        <v>30</v>
      </c>
      <c r="C46" s="37" t="s">
        <v>55</v>
      </c>
      <c r="D46" s="45"/>
      <c r="F46" s="45"/>
      <c r="G46" s="25">
        <f>SUM(G41:G45)</f>
        <v>12498.583333333332</v>
      </c>
      <c r="H46" s="45"/>
      <c r="I46" s="25">
        <f>SUM(I41:I45)</f>
        <v>106208.93948</v>
      </c>
      <c r="J46" s="45"/>
      <c r="K46" s="26">
        <f>SUM(K41:K45)</f>
        <v>13842.304</v>
      </c>
      <c r="L46" s="26"/>
      <c r="M46" s="26">
        <f>SUM(M41:M45)</f>
        <v>10.083701573054888</v>
      </c>
      <c r="N46" s="45"/>
      <c r="O46" s="251">
        <f t="shared" si="1"/>
        <v>7.2846988283560945E-4</v>
      </c>
    </row>
    <row r="47" spans="1:15" ht="23.1" customHeight="1">
      <c r="A47" s="5">
        <f>MAX(A$14:A46)+1</f>
        <v>31</v>
      </c>
      <c r="C47" s="29" t="s">
        <v>56</v>
      </c>
      <c r="E47" s="28" t="s">
        <v>21</v>
      </c>
      <c r="G47" s="25">
        <v>5</v>
      </c>
      <c r="I47" s="25">
        <f>'Exhibit-RMP(WRG-2R)'!C479/1000</f>
        <v>7.9721299999999999</v>
      </c>
      <c r="K47" s="26">
        <f>'Exhibit-RMP(WRG-2R)'!G479/1000</f>
        <v>0.60099999999999998</v>
      </c>
      <c r="L47" s="27"/>
      <c r="M47" s="26">
        <v>0</v>
      </c>
      <c r="O47" s="251">
        <f t="shared" si="1"/>
        <v>0</v>
      </c>
    </row>
    <row r="48" spans="1:15">
      <c r="A48" s="5">
        <f>MAX(A$14:A47)+1</f>
        <v>32</v>
      </c>
      <c r="C48" s="46" t="s">
        <v>57</v>
      </c>
      <c r="E48" s="28" t="s">
        <v>21</v>
      </c>
      <c r="G48" s="25">
        <v>1</v>
      </c>
      <c r="I48" s="25">
        <f>'Exhibit-RMP(WRG-2R)'!C470/1000</f>
        <v>135.42099999999999</v>
      </c>
      <c r="K48" s="26">
        <f>'Exhibit-RMP(WRG-2R)'!G470/1000</f>
        <v>17.277000000000001</v>
      </c>
      <c r="L48" s="27"/>
      <c r="M48" s="26">
        <v>0</v>
      </c>
      <c r="O48" s="251">
        <f t="shared" si="1"/>
        <v>0</v>
      </c>
    </row>
    <row r="49" spans="1:15">
      <c r="A49" s="5">
        <f>MAX(A$14:A48)+1</f>
        <v>33</v>
      </c>
      <c r="C49" s="29" t="s">
        <v>20</v>
      </c>
      <c r="D49" s="47"/>
      <c r="E49" s="30" t="s">
        <v>21</v>
      </c>
      <c r="F49" s="47"/>
      <c r="G49" s="48"/>
      <c r="H49" s="47"/>
      <c r="I49" s="48" t="s">
        <v>21</v>
      </c>
      <c r="J49" s="47"/>
      <c r="K49" s="32">
        <v>4.6616400000000002</v>
      </c>
      <c r="L49" s="27"/>
      <c r="M49" s="32"/>
      <c r="N49" s="47"/>
      <c r="O49" s="252"/>
    </row>
    <row r="50" spans="1:15">
      <c r="A50" s="5">
        <f>MAX(A$14:A49)+1</f>
        <v>34</v>
      </c>
      <c r="C50" s="13" t="s">
        <v>58</v>
      </c>
      <c r="E50" s="40"/>
      <c r="G50" s="36">
        <f>SUM(G47:G49)+G46</f>
        <v>12504.583333333332</v>
      </c>
      <c r="I50" s="36">
        <f>SUM(I47:I49)+I46</f>
        <v>106352.33261</v>
      </c>
      <c r="K50" s="32">
        <f>SUM(K47:K49)+K46</f>
        <v>13864.843640000001</v>
      </c>
      <c r="L50" s="27"/>
      <c r="M50" s="49">
        <f>SUM(M46:M49)</f>
        <v>10.083701573054888</v>
      </c>
      <c r="O50" s="252">
        <f>M50/K50</f>
        <v>7.2728563227092316E-4</v>
      </c>
    </row>
    <row r="51" spans="1:15" ht="27.75" customHeight="1" thickBot="1">
      <c r="A51" s="5">
        <f>MAX(A$14:A50)+1</f>
        <v>35</v>
      </c>
      <c r="C51" s="13" t="s">
        <v>59</v>
      </c>
      <c r="E51" s="40"/>
      <c r="G51" s="50">
        <f>G50+G38+G18</f>
        <v>829772.99999861105</v>
      </c>
      <c r="I51" s="50">
        <f>I50+I38+I18</f>
        <v>23734642.546709999</v>
      </c>
      <c r="K51" s="51">
        <f>K50+K38+K18</f>
        <v>1772847.4974491666</v>
      </c>
      <c r="L51" s="27"/>
      <c r="M51" s="51">
        <f>M50+M38+M18</f>
        <v>28892.10774349983</v>
      </c>
      <c r="O51" s="254">
        <f>M51/K51</f>
        <v>1.6297006812526615E-2</v>
      </c>
    </row>
    <row r="52" spans="1:15" ht="39.75" customHeight="1" thickTop="1" thickBot="1">
      <c r="A52" s="5">
        <f>MAX(A$14:A51)+1</f>
        <v>36</v>
      </c>
      <c r="C52" s="52" t="s">
        <v>60</v>
      </c>
      <c r="E52" s="40"/>
      <c r="G52" s="50">
        <f>G46+G39+G18-G17</f>
        <v>829764.99999861105</v>
      </c>
      <c r="I52" s="50">
        <f>I46+I39+I18-I17</f>
        <v>22472728.410829999</v>
      </c>
      <c r="K52" s="51">
        <f>K46+K39+K18-K17</f>
        <v>1717126.919</v>
      </c>
      <c r="L52" s="27"/>
      <c r="M52" s="51">
        <f>M46+M39+M18-M17</f>
        <v>28892.10774349983</v>
      </c>
      <c r="O52" s="254">
        <f>M52/K52</f>
        <v>1.682584287964321E-2</v>
      </c>
    </row>
    <row r="53" spans="1:15" ht="16.5" thickTop="1">
      <c r="C53" s="13"/>
      <c r="E53" s="40"/>
    </row>
    <row r="54" spans="1:15">
      <c r="O54" s="53"/>
    </row>
  </sheetData>
  <printOptions horizontalCentered="1"/>
  <pageMargins left="0" right="0" top="0.25" bottom="0.25" header="0.25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view="pageBreakPreview" zoomScale="70" zoomScaleSheetLayoutView="70" workbookViewId="0">
      <selection activeCell="P30" sqref="P30"/>
    </sheetView>
  </sheetViews>
  <sheetFormatPr defaultColWidth="9" defaultRowHeight="15.75"/>
  <cols>
    <col min="1" max="1" width="39.125" style="231" customWidth="1"/>
    <col min="2" max="2" width="1.25" style="231" customWidth="1"/>
    <col min="3" max="3" width="13.875" style="231" customWidth="1"/>
    <col min="4" max="4" width="1.25" style="231" customWidth="1"/>
    <col min="5" max="5" width="11.625" style="231" customWidth="1"/>
    <col min="6" max="6" width="7.625" style="231" bestFit="1" customWidth="1"/>
    <col min="7" max="7" width="3.625" style="231" customWidth="1"/>
    <col min="8" max="8" width="12.25" style="231" bestFit="1" customWidth="1"/>
    <col min="9" max="9" width="1.25" style="231" customWidth="1"/>
    <col min="10" max="10" width="12.625" style="231" bestFit="1" customWidth="1"/>
    <col min="11" max="11" width="7.625" style="231" bestFit="1" customWidth="1"/>
    <col min="12" max="12" width="2.375" style="231" customWidth="1"/>
    <col min="13" max="13" width="9.625" style="231" bestFit="1" customWidth="1"/>
    <col min="14" max="14" width="8.375" style="231" bestFit="1" customWidth="1"/>
    <col min="15" max="15" width="8.875" style="231" bestFit="1" customWidth="1"/>
    <col min="16" max="16" width="9.625" style="231" bestFit="1" customWidth="1"/>
    <col min="17" max="208" width="7" style="231" customWidth="1"/>
    <col min="209" max="209" width="20.75" style="231" customWidth="1"/>
    <col min="210" max="210" width="1.875" style="231" customWidth="1"/>
    <col min="211" max="211" width="14.25" style="231" customWidth="1"/>
    <col min="212" max="212" width="4.25" style="231" customWidth="1"/>
    <col min="213" max="213" width="8.875" style="231" bestFit="1" customWidth="1"/>
    <col min="214" max="214" width="6.375" style="231" bestFit="1" customWidth="1"/>
    <col min="215" max="215" width="2.125" style="231" customWidth="1"/>
    <col min="216" max="216" width="8.5" style="231" bestFit="1" customWidth="1"/>
    <col min="217" max="217" width="6.375" style="231" bestFit="1" customWidth="1"/>
    <col min="218" max="218" width="2.375" style="231" customWidth="1"/>
    <col min="219" max="219" width="9.5" style="231" bestFit="1" customWidth="1"/>
    <col min="220" max="220" width="7" style="231" bestFit="1" customWidth="1"/>
    <col min="221" max="221" width="1.75" style="231" customWidth="1"/>
    <col min="222" max="222" width="8.875" style="231" bestFit="1" customWidth="1"/>
    <col min="223" max="223" width="2" style="231" customWidth="1"/>
    <col min="224" max="224" width="8.875" style="231" bestFit="1" customWidth="1"/>
    <col min="225" max="225" width="6.375" style="231" bestFit="1" customWidth="1"/>
    <col min="226" max="226" width="1.375" style="231" customWidth="1"/>
    <col min="227" max="227" width="8.5" style="231" bestFit="1" customWidth="1"/>
    <col min="228" max="228" width="6.375" style="231" bestFit="1" customWidth="1"/>
    <col min="229" max="229" width="1.75" style="231" customWidth="1"/>
    <col min="230" max="230" width="9.5" style="231" bestFit="1" customWidth="1"/>
    <col min="231" max="231" width="7" style="231" bestFit="1" customWidth="1"/>
    <col min="232" max="232" width="1.625" style="231" customWidth="1"/>
    <col min="233" max="233" width="7.25" style="231" bestFit="1" customWidth="1"/>
    <col min="234" max="234" width="2.625" style="231" customWidth="1"/>
    <col min="235" max="235" width="13.25" style="231" customWidth="1"/>
    <col min="236" max="236" width="6.375" style="231" bestFit="1" customWidth="1"/>
    <col min="237" max="237" width="1.75" style="231" customWidth="1"/>
    <col min="238" max="238" width="8.5" style="231"/>
    <col min="239" max="239" width="42.25" style="231" bestFit="1" customWidth="1"/>
    <col min="240" max="240" width="1.25" style="231" customWidth="1"/>
    <col min="241" max="241" width="11.625" style="231" customWidth="1"/>
    <col min="242" max="242" width="1.25" style="231" customWidth="1"/>
    <col min="243" max="243" width="9.625" style="231" customWidth="1"/>
    <col min="244" max="244" width="8.125" style="231" customWidth="1"/>
    <col min="245" max="245" width="1.25" style="231" customWidth="1"/>
    <col min="246" max="246" width="8.125" style="231" customWidth="1"/>
    <col min="247" max="247" width="1.625" style="231" customWidth="1"/>
    <col min="248" max="248" width="8" style="231" bestFit="1" customWidth="1"/>
    <col min="249" max="249" width="9.75" style="231" bestFit="1" customWidth="1"/>
    <col min="250" max="464" width="7" style="231" customWidth="1"/>
    <col min="465" max="465" width="20.75" style="231" customWidth="1"/>
    <col min="466" max="466" width="1.875" style="231" customWidth="1"/>
    <col min="467" max="467" width="14.25" style="231" customWidth="1"/>
    <col min="468" max="468" width="4.25" style="231" customWidth="1"/>
    <col min="469" max="469" width="8.875" style="231" bestFit="1" customWidth="1"/>
    <col min="470" max="470" width="6.375" style="231" bestFit="1" customWidth="1"/>
    <col min="471" max="471" width="2.125" style="231" customWidth="1"/>
    <col min="472" max="472" width="8.5" style="231" bestFit="1" customWidth="1"/>
    <col min="473" max="473" width="6.375" style="231" bestFit="1" customWidth="1"/>
    <col min="474" max="474" width="2.375" style="231" customWidth="1"/>
    <col min="475" max="475" width="9.5" style="231" bestFit="1" customWidth="1"/>
    <col min="476" max="476" width="7" style="231" bestFit="1" customWidth="1"/>
    <col min="477" max="477" width="1.75" style="231" customWidth="1"/>
    <col min="478" max="478" width="8.875" style="231" bestFit="1" customWidth="1"/>
    <col min="479" max="479" width="2" style="231" customWidth="1"/>
    <col min="480" max="480" width="8.875" style="231" bestFit="1" customWidth="1"/>
    <col min="481" max="481" width="6.375" style="231" bestFit="1" customWidth="1"/>
    <col min="482" max="482" width="1.375" style="231" customWidth="1"/>
    <col min="483" max="483" width="8.5" style="231" bestFit="1" customWidth="1"/>
    <col min="484" max="484" width="6.375" style="231" bestFit="1" customWidth="1"/>
    <col min="485" max="485" width="1.75" style="231" customWidth="1"/>
    <col min="486" max="486" width="9.5" style="231" bestFit="1" customWidth="1"/>
    <col min="487" max="487" width="7" style="231" bestFit="1" customWidth="1"/>
    <col min="488" max="488" width="1.625" style="231" customWidth="1"/>
    <col min="489" max="489" width="7.25" style="231" bestFit="1" customWidth="1"/>
    <col min="490" max="490" width="2.625" style="231" customWidth="1"/>
    <col min="491" max="491" width="13.25" style="231" customWidth="1"/>
    <col min="492" max="492" width="6.375" style="231" bestFit="1" customWidth="1"/>
    <col min="493" max="493" width="1.75" style="231" customWidth="1"/>
    <col min="494" max="494" width="8.5" style="231"/>
    <col min="495" max="495" width="42.25" style="231" bestFit="1" customWidth="1"/>
    <col min="496" max="496" width="1.25" style="231" customWidth="1"/>
    <col min="497" max="497" width="11.625" style="231" customWidth="1"/>
    <col min="498" max="498" width="1.25" style="231" customWidth="1"/>
    <col min="499" max="499" width="9.625" style="231" customWidth="1"/>
    <col min="500" max="500" width="8.125" style="231" customWidth="1"/>
    <col min="501" max="501" width="1.25" style="231" customWidth="1"/>
    <col min="502" max="502" width="8.125" style="231" customWidth="1"/>
    <col min="503" max="503" width="1.625" style="231" customWidth="1"/>
    <col min="504" max="504" width="8" style="231" bestFit="1" customWidth="1"/>
    <col min="505" max="505" width="9.75" style="231" bestFit="1" customWidth="1"/>
    <col min="506" max="720" width="7" style="231" customWidth="1"/>
    <col min="721" max="721" width="20.75" style="231" customWidth="1"/>
    <col min="722" max="722" width="1.875" style="231" customWidth="1"/>
    <col min="723" max="723" width="14.25" style="231" customWidth="1"/>
    <col min="724" max="724" width="4.25" style="231" customWidth="1"/>
    <col min="725" max="725" width="8.875" style="231" bestFit="1" customWidth="1"/>
    <col min="726" max="726" width="6.375" style="231" bestFit="1" customWidth="1"/>
    <col min="727" max="727" width="2.125" style="231" customWidth="1"/>
    <col min="728" max="728" width="8.5" style="231" bestFit="1" customWidth="1"/>
    <col min="729" max="729" width="6.375" style="231" bestFit="1" customWidth="1"/>
    <col min="730" max="730" width="2.375" style="231" customWidth="1"/>
    <col min="731" max="731" width="9.5" style="231" bestFit="1" customWidth="1"/>
    <col min="732" max="732" width="7" style="231" bestFit="1" customWidth="1"/>
    <col min="733" max="733" width="1.75" style="231" customWidth="1"/>
    <col min="734" max="734" width="8.875" style="231" bestFit="1" customWidth="1"/>
    <col min="735" max="735" width="2" style="231" customWidth="1"/>
    <col min="736" max="736" width="8.875" style="231" bestFit="1" customWidth="1"/>
    <col min="737" max="737" width="6.375" style="231" bestFit="1" customWidth="1"/>
    <col min="738" max="738" width="1.375" style="231" customWidth="1"/>
    <col min="739" max="739" width="8.5" style="231" bestFit="1" customWidth="1"/>
    <col min="740" max="740" width="6.375" style="231" bestFit="1" customWidth="1"/>
    <col min="741" max="741" width="1.75" style="231" customWidth="1"/>
    <col min="742" max="742" width="9.5" style="231" bestFit="1" customWidth="1"/>
    <col min="743" max="743" width="7" style="231" bestFit="1" customWidth="1"/>
    <col min="744" max="744" width="1.625" style="231" customWidth="1"/>
    <col min="745" max="745" width="7.25" style="231" bestFit="1" customWidth="1"/>
    <col min="746" max="746" width="2.625" style="231" customWidth="1"/>
    <col min="747" max="747" width="13.25" style="231" customWidth="1"/>
    <col min="748" max="748" width="6.375" style="231" bestFit="1" customWidth="1"/>
    <col min="749" max="749" width="1.75" style="231" customWidth="1"/>
    <col min="750" max="750" width="8.5" style="231"/>
    <col min="751" max="751" width="42.25" style="231" bestFit="1" customWidth="1"/>
    <col min="752" max="752" width="1.25" style="231" customWidth="1"/>
    <col min="753" max="753" width="11.625" style="231" customWidth="1"/>
    <col min="754" max="754" width="1.25" style="231" customWidth="1"/>
    <col min="755" max="755" width="9.625" style="231" customWidth="1"/>
    <col min="756" max="756" width="8.125" style="231" customWidth="1"/>
    <col min="757" max="757" width="1.25" style="231" customWidth="1"/>
    <col min="758" max="758" width="8.125" style="231" customWidth="1"/>
    <col min="759" max="759" width="1.625" style="231" customWidth="1"/>
    <col min="760" max="760" width="8" style="231" bestFit="1" customWidth="1"/>
    <col min="761" max="761" width="9.75" style="231" bestFit="1" customWidth="1"/>
    <col min="762" max="976" width="7" style="231" customWidth="1"/>
    <col min="977" max="977" width="20.75" style="231" customWidth="1"/>
    <col min="978" max="978" width="1.875" style="231" customWidth="1"/>
    <col min="979" max="979" width="14.25" style="231" customWidth="1"/>
    <col min="980" max="980" width="4.25" style="231" customWidth="1"/>
    <col min="981" max="981" width="8.875" style="231" bestFit="1" customWidth="1"/>
    <col min="982" max="982" width="6.375" style="231" bestFit="1" customWidth="1"/>
    <col min="983" max="983" width="2.125" style="231" customWidth="1"/>
    <col min="984" max="984" width="8.5" style="231" bestFit="1" customWidth="1"/>
    <col min="985" max="985" width="6.375" style="231" bestFit="1" customWidth="1"/>
    <col min="986" max="986" width="2.375" style="231" customWidth="1"/>
    <col min="987" max="987" width="9.5" style="231" bestFit="1" customWidth="1"/>
    <col min="988" max="988" width="7" style="231" bestFit="1" customWidth="1"/>
    <col min="989" max="989" width="1.75" style="231" customWidth="1"/>
    <col min="990" max="990" width="8.875" style="231" bestFit="1" customWidth="1"/>
    <col min="991" max="991" width="2" style="231" customWidth="1"/>
    <col min="992" max="992" width="8.875" style="231" bestFit="1" customWidth="1"/>
    <col min="993" max="993" width="6.375" style="231" bestFit="1" customWidth="1"/>
    <col min="994" max="994" width="1.375" style="231" customWidth="1"/>
    <col min="995" max="995" width="8.5" style="231" bestFit="1" customWidth="1"/>
    <col min="996" max="996" width="6.375" style="231" bestFit="1" customWidth="1"/>
    <col min="997" max="997" width="1.75" style="231" customWidth="1"/>
    <col min="998" max="998" width="9.5" style="231" bestFit="1" customWidth="1"/>
    <col min="999" max="999" width="7" style="231" bestFit="1" customWidth="1"/>
    <col min="1000" max="1000" width="1.625" style="231" customWidth="1"/>
    <col min="1001" max="1001" width="7.25" style="231" bestFit="1" customWidth="1"/>
    <col min="1002" max="1002" width="2.625" style="231" customWidth="1"/>
    <col min="1003" max="1003" width="13.25" style="231" customWidth="1"/>
    <col min="1004" max="1004" width="6.375" style="231" bestFit="1" customWidth="1"/>
    <col min="1005" max="1005" width="1.75" style="231" customWidth="1"/>
    <col min="1006" max="1006" width="8.5" style="231"/>
    <col min="1007" max="1007" width="42.25" style="231" bestFit="1" customWidth="1"/>
    <col min="1008" max="1008" width="1.25" style="231" customWidth="1"/>
    <col min="1009" max="1009" width="11.625" style="231" customWidth="1"/>
    <col min="1010" max="1010" width="1.25" style="231" customWidth="1"/>
    <col min="1011" max="1011" width="9.625" style="231" customWidth="1"/>
    <col min="1012" max="1012" width="8.125" style="231" customWidth="1"/>
    <col min="1013" max="1013" width="1.25" style="231" customWidth="1"/>
    <col min="1014" max="1014" width="8.125" style="231" customWidth="1"/>
    <col min="1015" max="1015" width="1.625" style="231" customWidth="1"/>
    <col min="1016" max="1016" width="8" style="231" bestFit="1" customWidth="1"/>
    <col min="1017" max="1017" width="9.75" style="231" bestFit="1" customWidth="1"/>
    <col min="1018" max="1232" width="7" style="231" customWidth="1"/>
    <col min="1233" max="1233" width="20.75" style="231" customWidth="1"/>
    <col min="1234" max="1234" width="1.875" style="231" customWidth="1"/>
    <col min="1235" max="1235" width="14.25" style="231" customWidth="1"/>
    <col min="1236" max="1236" width="4.25" style="231" customWidth="1"/>
    <col min="1237" max="1237" width="8.875" style="231" bestFit="1" customWidth="1"/>
    <col min="1238" max="1238" width="6.375" style="231" bestFit="1" customWidth="1"/>
    <col min="1239" max="1239" width="2.125" style="231" customWidth="1"/>
    <col min="1240" max="1240" width="8.5" style="231" bestFit="1" customWidth="1"/>
    <col min="1241" max="1241" width="6.375" style="231" bestFit="1" customWidth="1"/>
    <col min="1242" max="1242" width="2.375" style="231" customWidth="1"/>
    <col min="1243" max="1243" width="9.5" style="231" bestFit="1" customWidth="1"/>
    <col min="1244" max="1244" width="7" style="231" bestFit="1" customWidth="1"/>
    <col min="1245" max="1245" width="1.75" style="231" customWidth="1"/>
    <col min="1246" max="1246" width="8.875" style="231" bestFit="1" customWidth="1"/>
    <col min="1247" max="1247" width="2" style="231" customWidth="1"/>
    <col min="1248" max="1248" width="8.875" style="231" bestFit="1" customWidth="1"/>
    <col min="1249" max="1249" width="6.375" style="231" bestFit="1" customWidth="1"/>
    <col min="1250" max="1250" width="1.375" style="231" customWidth="1"/>
    <col min="1251" max="1251" width="8.5" style="231" bestFit="1" customWidth="1"/>
    <col min="1252" max="1252" width="6.375" style="231" bestFit="1" customWidth="1"/>
    <col min="1253" max="1253" width="1.75" style="231" customWidth="1"/>
    <col min="1254" max="1254" width="9.5" style="231" bestFit="1" customWidth="1"/>
    <col min="1255" max="1255" width="7" style="231" bestFit="1" customWidth="1"/>
    <col min="1256" max="1256" width="1.625" style="231" customWidth="1"/>
    <col min="1257" max="1257" width="7.25" style="231" bestFit="1" customWidth="1"/>
    <col min="1258" max="1258" width="2.625" style="231" customWidth="1"/>
    <col min="1259" max="1259" width="13.25" style="231" customWidth="1"/>
    <col min="1260" max="1260" width="6.375" style="231" bestFit="1" customWidth="1"/>
    <col min="1261" max="1261" width="1.75" style="231" customWidth="1"/>
    <col min="1262" max="1262" width="8.5" style="231"/>
    <col min="1263" max="1263" width="42.25" style="231" bestFit="1" customWidth="1"/>
    <col min="1264" max="1264" width="1.25" style="231" customWidth="1"/>
    <col min="1265" max="1265" width="11.625" style="231" customWidth="1"/>
    <col min="1266" max="1266" width="1.25" style="231" customWidth="1"/>
    <col min="1267" max="1267" width="9.625" style="231" customWidth="1"/>
    <col min="1268" max="1268" width="8.125" style="231" customWidth="1"/>
    <col min="1269" max="1269" width="1.25" style="231" customWidth="1"/>
    <col min="1270" max="1270" width="8.125" style="231" customWidth="1"/>
    <col min="1271" max="1271" width="1.625" style="231" customWidth="1"/>
    <col min="1272" max="1272" width="8" style="231" bestFit="1" customWidth="1"/>
    <col min="1273" max="1273" width="9.75" style="231" bestFit="1" customWidth="1"/>
    <col min="1274" max="1488" width="7" style="231" customWidth="1"/>
    <col min="1489" max="1489" width="20.75" style="231" customWidth="1"/>
    <col min="1490" max="1490" width="1.875" style="231" customWidth="1"/>
    <col min="1491" max="1491" width="14.25" style="231" customWidth="1"/>
    <col min="1492" max="1492" width="4.25" style="231" customWidth="1"/>
    <col min="1493" max="1493" width="8.875" style="231" bestFit="1" customWidth="1"/>
    <col min="1494" max="1494" width="6.375" style="231" bestFit="1" customWidth="1"/>
    <col min="1495" max="1495" width="2.125" style="231" customWidth="1"/>
    <col min="1496" max="1496" width="8.5" style="231" bestFit="1" customWidth="1"/>
    <col min="1497" max="1497" width="6.375" style="231" bestFit="1" customWidth="1"/>
    <col min="1498" max="1498" width="2.375" style="231" customWidth="1"/>
    <col min="1499" max="1499" width="9.5" style="231" bestFit="1" customWidth="1"/>
    <col min="1500" max="1500" width="7" style="231" bestFit="1" customWidth="1"/>
    <col min="1501" max="1501" width="1.75" style="231" customWidth="1"/>
    <col min="1502" max="1502" width="8.875" style="231" bestFit="1" customWidth="1"/>
    <col min="1503" max="1503" width="2" style="231" customWidth="1"/>
    <col min="1504" max="1504" width="8.875" style="231" bestFit="1" customWidth="1"/>
    <col min="1505" max="1505" width="6.375" style="231" bestFit="1" customWidth="1"/>
    <col min="1506" max="1506" width="1.375" style="231" customWidth="1"/>
    <col min="1507" max="1507" width="8.5" style="231" bestFit="1" customWidth="1"/>
    <col min="1508" max="1508" width="6.375" style="231" bestFit="1" customWidth="1"/>
    <col min="1509" max="1509" width="1.75" style="231" customWidth="1"/>
    <col min="1510" max="1510" width="9.5" style="231" bestFit="1" customWidth="1"/>
    <col min="1511" max="1511" width="7" style="231" bestFit="1" customWidth="1"/>
    <col min="1512" max="1512" width="1.625" style="231" customWidth="1"/>
    <col min="1513" max="1513" width="7.25" style="231" bestFit="1" customWidth="1"/>
    <col min="1514" max="1514" width="2.625" style="231" customWidth="1"/>
    <col min="1515" max="1515" width="13.25" style="231" customWidth="1"/>
    <col min="1516" max="1516" width="6.375" style="231" bestFit="1" customWidth="1"/>
    <col min="1517" max="1517" width="1.75" style="231" customWidth="1"/>
    <col min="1518" max="1518" width="8.5" style="231"/>
    <col min="1519" max="1519" width="42.25" style="231" bestFit="1" customWidth="1"/>
    <col min="1520" max="1520" width="1.25" style="231" customWidth="1"/>
    <col min="1521" max="1521" width="11.625" style="231" customWidth="1"/>
    <col min="1522" max="1522" width="1.25" style="231" customWidth="1"/>
    <col min="1523" max="1523" width="9.625" style="231" customWidth="1"/>
    <col min="1524" max="1524" width="8.125" style="231" customWidth="1"/>
    <col min="1525" max="1525" width="1.25" style="231" customWidth="1"/>
    <col min="1526" max="1526" width="8.125" style="231" customWidth="1"/>
    <col min="1527" max="1527" width="1.625" style="231" customWidth="1"/>
    <col min="1528" max="1528" width="8" style="231" bestFit="1" customWidth="1"/>
    <col min="1529" max="1529" width="9.75" style="231" bestFit="1" customWidth="1"/>
    <col min="1530" max="1744" width="7" style="231" customWidth="1"/>
    <col min="1745" max="1745" width="20.75" style="231" customWidth="1"/>
    <col min="1746" max="1746" width="1.875" style="231" customWidth="1"/>
    <col min="1747" max="1747" width="14.25" style="231" customWidth="1"/>
    <col min="1748" max="1748" width="4.25" style="231" customWidth="1"/>
    <col min="1749" max="1749" width="8.875" style="231" bestFit="1" customWidth="1"/>
    <col min="1750" max="1750" width="6.375" style="231" bestFit="1" customWidth="1"/>
    <col min="1751" max="1751" width="2.125" style="231" customWidth="1"/>
    <col min="1752" max="1752" width="8.5" style="231" bestFit="1" customWidth="1"/>
    <col min="1753" max="1753" width="6.375" style="231" bestFit="1" customWidth="1"/>
    <col min="1754" max="1754" width="2.375" style="231" customWidth="1"/>
    <col min="1755" max="1755" width="9.5" style="231" bestFit="1" customWidth="1"/>
    <col min="1756" max="1756" width="7" style="231" bestFit="1" customWidth="1"/>
    <col min="1757" max="1757" width="1.75" style="231" customWidth="1"/>
    <col min="1758" max="1758" width="8.875" style="231" bestFit="1" customWidth="1"/>
    <col min="1759" max="1759" width="2" style="231" customWidth="1"/>
    <col min="1760" max="1760" width="8.875" style="231" bestFit="1" customWidth="1"/>
    <col min="1761" max="1761" width="6.375" style="231" bestFit="1" customWidth="1"/>
    <col min="1762" max="1762" width="1.375" style="231" customWidth="1"/>
    <col min="1763" max="1763" width="8.5" style="231" bestFit="1" customWidth="1"/>
    <col min="1764" max="1764" width="6.375" style="231" bestFit="1" customWidth="1"/>
    <col min="1765" max="1765" width="1.75" style="231" customWidth="1"/>
    <col min="1766" max="1766" width="9.5" style="231" bestFit="1" customWidth="1"/>
    <col min="1767" max="1767" width="7" style="231" bestFit="1" customWidth="1"/>
    <col min="1768" max="1768" width="1.625" style="231" customWidth="1"/>
    <col min="1769" max="1769" width="7.25" style="231" bestFit="1" customWidth="1"/>
    <col min="1770" max="1770" width="2.625" style="231" customWidth="1"/>
    <col min="1771" max="1771" width="13.25" style="231" customWidth="1"/>
    <col min="1772" max="1772" width="6.375" style="231" bestFit="1" customWidth="1"/>
    <col min="1773" max="1773" width="1.75" style="231" customWidth="1"/>
    <col min="1774" max="1774" width="8.5" style="231"/>
    <col min="1775" max="1775" width="42.25" style="231" bestFit="1" customWidth="1"/>
    <col min="1776" max="1776" width="1.25" style="231" customWidth="1"/>
    <col min="1777" max="1777" width="11.625" style="231" customWidth="1"/>
    <col min="1778" max="1778" width="1.25" style="231" customWidth="1"/>
    <col min="1779" max="1779" width="9.625" style="231" customWidth="1"/>
    <col min="1780" max="1780" width="8.125" style="231" customWidth="1"/>
    <col min="1781" max="1781" width="1.25" style="231" customWidth="1"/>
    <col min="1782" max="1782" width="8.125" style="231" customWidth="1"/>
    <col min="1783" max="1783" width="1.625" style="231" customWidth="1"/>
    <col min="1784" max="1784" width="8" style="231" bestFit="1" customWidth="1"/>
    <col min="1785" max="1785" width="9.75" style="231" bestFit="1" customWidth="1"/>
    <col min="1786" max="2000" width="7" style="231" customWidth="1"/>
    <col min="2001" max="2001" width="20.75" style="231" customWidth="1"/>
    <col min="2002" max="2002" width="1.875" style="231" customWidth="1"/>
    <col min="2003" max="2003" width="14.25" style="231" customWidth="1"/>
    <col min="2004" max="2004" width="4.25" style="231" customWidth="1"/>
    <col min="2005" max="2005" width="8.875" style="231" bestFit="1" customWidth="1"/>
    <col min="2006" max="2006" width="6.375" style="231" bestFit="1" customWidth="1"/>
    <col min="2007" max="2007" width="2.125" style="231" customWidth="1"/>
    <col min="2008" max="2008" width="8.5" style="231" bestFit="1" customWidth="1"/>
    <col min="2009" max="2009" width="6.375" style="231" bestFit="1" customWidth="1"/>
    <col min="2010" max="2010" width="2.375" style="231" customWidth="1"/>
    <col min="2011" max="2011" width="9.5" style="231" bestFit="1" customWidth="1"/>
    <col min="2012" max="2012" width="7" style="231" bestFit="1" customWidth="1"/>
    <col min="2013" max="2013" width="1.75" style="231" customWidth="1"/>
    <col min="2014" max="2014" width="8.875" style="231" bestFit="1" customWidth="1"/>
    <col min="2015" max="2015" width="2" style="231" customWidth="1"/>
    <col min="2016" max="2016" width="8.875" style="231" bestFit="1" customWidth="1"/>
    <col min="2017" max="2017" width="6.375" style="231" bestFit="1" customWidth="1"/>
    <col min="2018" max="2018" width="1.375" style="231" customWidth="1"/>
    <col min="2019" max="2019" width="8.5" style="231" bestFit="1" customWidth="1"/>
    <col min="2020" max="2020" width="6.375" style="231" bestFit="1" customWidth="1"/>
    <col min="2021" max="2021" width="1.75" style="231" customWidth="1"/>
    <col min="2022" max="2022" width="9.5" style="231" bestFit="1" customWidth="1"/>
    <col min="2023" max="2023" width="7" style="231" bestFit="1" customWidth="1"/>
    <col min="2024" max="2024" width="1.625" style="231" customWidth="1"/>
    <col min="2025" max="2025" width="7.25" style="231" bestFit="1" customWidth="1"/>
    <col min="2026" max="2026" width="2.625" style="231" customWidth="1"/>
    <col min="2027" max="2027" width="13.25" style="231" customWidth="1"/>
    <col min="2028" max="2028" width="6.375" style="231" bestFit="1" customWidth="1"/>
    <col min="2029" max="2029" width="1.75" style="231" customWidth="1"/>
    <col min="2030" max="2030" width="8.5" style="231"/>
    <col min="2031" max="2031" width="42.25" style="231" bestFit="1" customWidth="1"/>
    <col min="2032" max="2032" width="1.25" style="231" customWidth="1"/>
    <col min="2033" max="2033" width="11.625" style="231" customWidth="1"/>
    <col min="2034" max="2034" width="1.25" style="231" customWidth="1"/>
    <col min="2035" max="2035" width="9.625" style="231" customWidth="1"/>
    <col min="2036" max="2036" width="8.125" style="231" customWidth="1"/>
    <col min="2037" max="2037" width="1.25" style="231" customWidth="1"/>
    <col min="2038" max="2038" width="8.125" style="231" customWidth="1"/>
    <col min="2039" max="2039" width="1.625" style="231" customWidth="1"/>
    <col min="2040" max="2040" width="8" style="231" bestFit="1" customWidth="1"/>
    <col min="2041" max="2041" width="9.75" style="231" bestFit="1" customWidth="1"/>
    <col min="2042" max="2256" width="7" style="231" customWidth="1"/>
    <col min="2257" max="2257" width="20.75" style="231" customWidth="1"/>
    <col min="2258" max="2258" width="1.875" style="231" customWidth="1"/>
    <col min="2259" max="2259" width="14.25" style="231" customWidth="1"/>
    <col min="2260" max="2260" width="4.25" style="231" customWidth="1"/>
    <col min="2261" max="2261" width="8.875" style="231" bestFit="1" customWidth="1"/>
    <col min="2262" max="2262" width="6.375" style="231" bestFit="1" customWidth="1"/>
    <col min="2263" max="2263" width="2.125" style="231" customWidth="1"/>
    <col min="2264" max="2264" width="8.5" style="231" bestFit="1" customWidth="1"/>
    <col min="2265" max="2265" width="6.375" style="231" bestFit="1" customWidth="1"/>
    <col min="2266" max="2266" width="2.375" style="231" customWidth="1"/>
    <col min="2267" max="2267" width="9.5" style="231" bestFit="1" customWidth="1"/>
    <col min="2268" max="2268" width="7" style="231" bestFit="1" customWidth="1"/>
    <col min="2269" max="2269" width="1.75" style="231" customWidth="1"/>
    <col min="2270" max="2270" width="8.875" style="231" bestFit="1" customWidth="1"/>
    <col min="2271" max="2271" width="2" style="231" customWidth="1"/>
    <col min="2272" max="2272" width="8.875" style="231" bestFit="1" customWidth="1"/>
    <col min="2273" max="2273" width="6.375" style="231" bestFit="1" customWidth="1"/>
    <col min="2274" max="2274" width="1.375" style="231" customWidth="1"/>
    <col min="2275" max="2275" width="8.5" style="231" bestFit="1" customWidth="1"/>
    <col min="2276" max="2276" width="6.375" style="231" bestFit="1" customWidth="1"/>
    <col min="2277" max="2277" width="1.75" style="231" customWidth="1"/>
    <col min="2278" max="2278" width="9.5" style="231" bestFit="1" customWidth="1"/>
    <col min="2279" max="2279" width="7" style="231" bestFit="1" customWidth="1"/>
    <col min="2280" max="2280" width="1.625" style="231" customWidth="1"/>
    <col min="2281" max="2281" width="7.25" style="231" bestFit="1" customWidth="1"/>
    <col min="2282" max="2282" width="2.625" style="231" customWidth="1"/>
    <col min="2283" max="2283" width="13.25" style="231" customWidth="1"/>
    <col min="2284" max="2284" width="6.375" style="231" bestFit="1" customWidth="1"/>
    <col min="2285" max="2285" width="1.75" style="231" customWidth="1"/>
    <col min="2286" max="2286" width="8.5" style="231"/>
    <col min="2287" max="2287" width="42.25" style="231" bestFit="1" customWidth="1"/>
    <col min="2288" max="2288" width="1.25" style="231" customWidth="1"/>
    <col min="2289" max="2289" width="11.625" style="231" customWidth="1"/>
    <col min="2290" max="2290" width="1.25" style="231" customWidth="1"/>
    <col min="2291" max="2291" width="9.625" style="231" customWidth="1"/>
    <col min="2292" max="2292" width="8.125" style="231" customWidth="1"/>
    <col min="2293" max="2293" width="1.25" style="231" customWidth="1"/>
    <col min="2294" max="2294" width="8.125" style="231" customWidth="1"/>
    <col min="2295" max="2295" width="1.625" style="231" customWidth="1"/>
    <col min="2296" max="2296" width="8" style="231" bestFit="1" customWidth="1"/>
    <col min="2297" max="2297" width="9.75" style="231" bestFit="1" customWidth="1"/>
    <col min="2298" max="2512" width="7" style="231" customWidth="1"/>
    <col min="2513" max="2513" width="20.75" style="231" customWidth="1"/>
    <col min="2514" max="2514" width="1.875" style="231" customWidth="1"/>
    <col min="2515" max="2515" width="14.25" style="231" customWidth="1"/>
    <col min="2516" max="2516" width="4.25" style="231" customWidth="1"/>
    <col min="2517" max="2517" width="8.875" style="231" bestFit="1" customWidth="1"/>
    <col min="2518" max="2518" width="6.375" style="231" bestFit="1" customWidth="1"/>
    <col min="2519" max="2519" width="2.125" style="231" customWidth="1"/>
    <col min="2520" max="2520" width="8.5" style="231" bestFit="1" customWidth="1"/>
    <col min="2521" max="2521" width="6.375" style="231" bestFit="1" customWidth="1"/>
    <col min="2522" max="2522" width="2.375" style="231" customWidth="1"/>
    <col min="2523" max="2523" width="9.5" style="231" bestFit="1" customWidth="1"/>
    <col min="2524" max="2524" width="7" style="231" bestFit="1" customWidth="1"/>
    <col min="2525" max="2525" width="1.75" style="231" customWidth="1"/>
    <col min="2526" max="2526" width="8.875" style="231" bestFit="1" customWidth="1"/>
    <col min="2527" max="2527" width="2" style="231" customWidth="1"/>
    <col min="2528" max="2528" width="8.875" style="231" bestFit="1" customWidth="1"/>
    <col min="2529" max="2529" width="6.375" style="231" bestFit="1" customWidth="1"/>
    <col min="2530" max="2530" width="1.375" style="231" customWidth="1"/>
    <col min="2531" max="2531" width="8.5" style="231" bestFit="1" customWidth="1"/>
    <col min="2532" max="2532" width="6.375" style="231" bestFit="1" customWidth="1"/>
    <col min="2533" max="2533" width="1.75" style="231" customWidth="1"/>
    <col min="2534" max="2534" width="9.5" style="231" bestFit="1" customWidth="1"/>
    <col min="2535" max="2535" width="7" style="231" bestFit="1" customWidth="1"/>
    <col min="2536" max="2536" width="1.625" style="231" customWidth="1"/>
    <col min="2537" max="2537" width="7.25" style="231" bestFit="1" customWidth="1"/>
    <col min="2538" max="2538" width="2.625" style="231" customWidth="1"/>
    <col min="2539" max="2539" width="13.25" style="231" customWidth="1"/>
    <col min="2540" max="2540" width="6.375" style="231" bestFit="1" customWidth="1"/>
    <col min="2541" max="2541" width="1.75" style="231" customWidth="1"/>
    <col min="2542" max="2542" width="8.5" style="231"/>
    <col min="2543" max="2543" width="42.25" style="231" bestFit="1" customWidth="1"/>
    <col min="2544" max="2544" width="1.25" style="231" customWidth="1"/>
    <col min="2545" max="2545" width="11.625" style="231" customWidth="1"/>
    <col min="2546" max="2546" width="1.25" style="231" customWidth="1"/>
    <col min="2547" max="2547" width="9.625" style="231" customWidth="1"/>
    <col min="2548" max="2548" width="8.125" style="231" customWidth="1"/>
    <col min="2549" max="2549" width="1.25" style="231" customWidth="1"/>
    <col min="2550" max="2550" width="8.125" style="231" customWidth="1"/>
    <col min="2551" max="2551" width="1.625" style="231" customWidth="1"/>
    <col min="2552" max="2552" width="8" style="231" bestFit="1" customWidth="1"/>
    <col min="2553" max="2553" width="9.75" style="231" bestFit="1" customWidth="1"/>
    <col min="2554" max="2768" width="7" style="231" customWidth="1"/>
    <col min="2769" max="2769" width="20.75" style="231" customWidth="1"/>
    <col min="2770" max="2770" width="1.875" style="231" customWidth="1"/>
    <col min="2771" max="2771" width="14.25" style="231" customWidth="1"/>
    <col min="2772" max="2772" width="4.25" style="231" customWidth="1"/>
    <col min="2773" max="2773" width="8.875" style="231" bestFit="1" customWidth="1"/>
    <col min="2774" max="2774" width="6.375" style="231" bestFit="1" customWidth="1"/>
    <col min="2775" max="2775" width="2.125" style="231" customWidth="1"/>
    <col min="2776" max="2776" width="8.5" style="231" bestFit="1" customWidth="1"/>
    <col min="2777" max="2777" width="6.375" style="231" bestFit="1" customWidth="1"/>
    <col min="2778" max="2778" width="2.375" style="231" customWidth="1"/>
    <col min="2779" max="2779" width="9.5" style="231" bestFit="1" customWidth="1"/>
    <col min="2780" max="2780" width="7" style="231" bestFit="1" customWidth="1"/>
    <col min="2781" max="2781" width="1.75" style="231" customWidth="1"/>
    <col min="2782" max="2782" width="8.875" style="231" bestFit="1" customWidth="1"/>
    <col min="2783" max="2783" width="2" style="231" customWidth="1"/>
    <col min="2784" max="2784" width="8.875" style="231" bestFit="1" customWidth="1"/>
    <col min="2785" max="2785" width="6.375" style="231" bestFit="1" customWidth="1"/>
    <col min="2786" max="2786" width="1.375" style="231" customWidth="1"/>
    <col min="2787" max="2787" width="8.5" style="231" bestFit="1" customWidth="1"/>
    <col min="2788" max="2788" width="6.375" style="231" bestFit="1" customWidth="1"/>
    <col min="2789" max="2789" width="1.75" style="231" customWidth="1"/>
    <col min="2790" max="2790" width="9.5" style="231" bestFit="1" customWidth="1"/>
    <col min="2791" max="2791" width="7" style="231" bestFit="1" customWidth="1"/>
    <col min="2792" max="2792" width="1.625" style="231" customWidth="1"/>
    <col min="2793" max="2793" width="7.25" style="231" bestFit="1" customWidth="1"/>
    <col min="2794" max="2794" width="2.625" style="231" customWidth="1"/>
    <col min="2795" max="2795" width="13.25" style="231" customWidth="1"/>
    <col min="2796" max="2796" width="6.375" style="231" bestFit="1" customWidth="1"/>
    <col min="2797" max="2797" width="1.75" style="231" customWidth="1"/>
    <col min="2798" max="2798" width="8.5" style="231"/>
    <col min="2799" max="2799" width="42.25" style="231" bestFit="1" customWidth="1"/>
    <col min="2800" max="2800" width="1.25" style="231" customWidth="1"/>
    <col min="2801" max="2801" width="11.625" style="231" customWidth="1"/>
    <col min="2802" max="2802" width="1.25" style="231" customWidth="1"/>
    <col min="2803" max="2803" width="9.625" style="231" customWidth="1"/>
    <col min="2804" max="2804" width="8.125" style="231" customWidth="1"/>
    <col min="2805" max="2805" width="1.25" style="231" customWidth="1"/>
    <col min="2806" max="2806" width="8.125" style="231" customWidth="1"/>
    <col min="2807" max="2807" width="1.625" style="231" customWidth="1"/>
    <col min="2808" max="2808" width="8" style="231" bestFit="1" customWidth="1"/>
    <col min="2809" max="2809" width="9.75" style="231" bestFit="1" customWidth="1"/>
    <col min="2810" max="3024" width="7" style="231" customWidth="1"/>
    <col min="3025" max="3025" width="20.75" style="231" customWidth="1"/>
    <col min="3026" max="3026" width="1.875" style="231" customWidth="1"/>
    <col min="3027" max="3027" width="14.25" style="231" customWidth="1"/>
    <col min="3028" max="3028" width="4.25" style="231" customWidth="1"/>
    <col min="3029" max="3029" width="8.875" style="231" bestFit="1" customWidth="1"/>
    <col min="3030" max="3030" width="6.375" style="231" bestFit="1" customWidth="1"/>
    <col min="3031" max="3031" width="2.125" style="231" customWidth="1"/>
    <col min="3032" max="3032" width="8.5" style="231" bestFit="1" customWidth="1"/>
    <col min="3033" max="3033" width="6.375" style="231" bestFit="1" customWidth="1"/>
    <col min="3034" max="3034" width="2.375" style="231" customWidth="1"/>
    <col min="3035" max="3035" width="9.5" style="231" bestFit="1" customWidth="1"/>
    <col min="3036" max="3036" width="7" style="231" bestFit="1" customWidth="1"/>
    <col min="3037" max="3037" width="1.75" style="231" customWidth="1"/>
    <col min="3038" max="3038" width="8.875" style="231" bestFit="1" customWidth="1"/>
    <col min="3039" max="3039" width="2" style="231" customWidth="1"/>
    <col min="3040" max="3040" width="8.875" style="231" bestFit="1" customWidth="1"/>
    <col min="3041" max="3041" width="6.375" style="231" bestFit="1" customWidth="1"/>
    <col min="3042" max="3042" width="1.375" style="231" customWidth="1"/>
    <col min="3043" max="3043" width="8.5" style="231" bestFit="1" customWidth="1"/>
    <col min="3044" max="3044" width="6.375" style="231" bestFit="1" customWidth="1"/>
    <col min="3045" max="3045" width="1.75" style="231" customWidth="1"/>
    <col min="3046" max="3046" width="9.5" style="231" bestFit="1" customWidth="1"/>
    <col min="3047" max="3047" width="7" style="231" bestFit="1" customWidth="1"/>
    <col min="3048" max="3048" width="1.625" style="231" customWidth="1"/>
    <col min="3049" max="3049" width="7.25" style="231" bestFit="1" customWidth="1"/>
    <col min="3050" max="3050" width="2.625" style="231" customWidth="1"/>
    <col min="3051" max="3051" width="13.25" style="231" customWidth="1"/>
    <col min="3052" max="3052" width="6.375" style="231" bestFit="1" customWidth="1"/>
    <col min="3053" max="3053" width="1.75" style="231" customWidth="1"/>
    <col min="3054" max="3054" width="8.5" style="231"/>
    <col min="3055" max="3055" width="42.25" style="231" bestFit="1" customWidth="1"/>
    <col min="3056" max="3056" width="1.25" style="231" customWidth="1"/>
    <col min="3057" max="3057" width="11.625" style="231" customWidth="1"/>
    <col min="3058" max="3058" width="1.25" style="231" customWidth="1"/>
    <col min="3059" max="3059" width="9.625" style="231" customWidth="1"/>
    <col min="3060" max="3060" width="8.125" style="231" customWidth="1"/>
    <col min="3061" max="3061" width="1.25" style="231" customWidth="1"/>
    <col min="3062" max="3062" width="8.125" style="231" customWidth="1"/>
    <col min="3063" max="3063" width="1.625" style="231" customWidth="1"/>
    <col min="3064" max="3064" width="8" style="231" bestFit="1" customWidth="1"/>
    <col min="3065" max="3065" width="9.75" style="231" bestFit="1" customWidth="1"/>
    <col min="3066" max="3280" width="7" style="231" customWidth="1"/>
    <col min="3281" max="3281" width="20.75" style="231" customWidth="1"/>
    <col min="3282" max="3282" width="1.875" style="231" customWidth="1"/>
    <col min="3283" max="3283" width="14.25" style="231" customWidth="1"/>
    <col min="3284" max="3284" width="4.25" style="231" customWidth="1"/>
    <col min="3285" max="3285" width="8.875" style="231" bestFit="1" customWidth="1"/>
    <col min="3286" max="3286" width="6.375" style="231" bestFit="1" customWidth="1"/>
    <col min="3287" max="3287" width="2.125" style="231" customWidth="1"/>
    <col min="3288" max="3288" width="8.5" style="231" bestFit="1" customWidth="1"/>
    <col min="3289" max="3289" width="6.375" style="231" bestFit="1" customWidth="1"/>
    <col min="3290" max="3290" width="2.375" style="231" customWidth="1"/>
    <col min="3291" max="3291" width="9.5" style="231" bestFit="1" customWidth="1"/>
    <col min="3292" max="3292" width="7" style="231" bestFit="1" customWidth="1"/>
    <col min="3293" max="3293" width="1.75" style="231" customWidth="1"/>
    <col min="3294" max="3294" width="8.875" style="231" bestFit="1" customWidth="1"/>
    <col min="3295" max="3295" width="2" style="231" customWidth="1"/>
    <col min="3296" max="3296" width="8.875" style="231" bestFit="1" customWidth="1"/>
    <col min="3297" max="3297" width="6.375" style="231" bestFit="1" customWidth="1"/>
    <col min="3298" max="3298" width="1.375" style="231" customWidth="1"/>
    <col min="3299" max="3299" width="8.5" style="231" bestFit="1" customWidth="1"/>
    <col min="3300" max="3300" width="6.375" style="231" bestFit="1" customWidth="1"/>
    <col min="3301" max="3301" width="1.75" style="231" customWidth="1"/>
    <col min="3302" max="3302" width="9.5" style="231" bestFit="1" customWidth="1"/>
    <col min="3303" max="3303" width="7" style="231" bestFit="1" customWidth="1"/>
    <col min="3304" max="3304" width="1.625" style="231" customWidth="1"/>
    <col min="3305" max="3305" width="7.25" style="231" bestFit="1" customWidth="1"/>
    <col min="3306" max="3306" width="2.625" style="231" customWidth="1"/>
    <col min="3307" max="3307" width="13.25" style="231" customWidth="1"/>
    <col min="3308" max="3308" width="6.375" style="231" bestFit="1" customWidth="1"/>
    <col min="3309" max="3309" width="1.75" style="231" customWidth="1"/>
    <col min="3310" max="3310" width="8.5" style="231"/>
    <col min="3311" max="3311" width="42.25" style="231" bestFit="1" customWidth="1"/>
    <col min="3312" max="3312" width="1.25" style="231" customWidth="1"/>
    <col min="3313" max="3313" width="11.625" style="231" customWidth="1"/>
    <col min="3314" max="3314" width="1.25" style="231" customWidth="1"/>
    <col min="3315" max="3315" width="9.625" style="231" customWidth="1"/>
    <col min="3316" max="3316" width="8.125" style="231" customWidth="1"/>
    <col min="3317" max="3317" width="1.25" style="231" customWidth="1"/>
    <col min="3318" max="3318" width="8.125" style="231" customWidth="1"/>
    <col min="3319" max="3319" width="1.625" style="231" customWidth="1"/>
    <col min="3320" max="3320" width="8" style="231" bestFit="1" customWidth="1"/>
    <col min="3321" max="3321" width="9.75" style="231" bestFit="1" customWidth="1"/>
    <col min="3322" max="3536" width="7" style="231" customWidth="1"/>
    <col min="3537" max="3537" width="20.75" style="231" customWidth="1"/>
    <col min="3538" max="3538" width="1.875" style="231" customWidth="1"/>
    <col min="3539" max="3539" width="14.25" style="231" customWidth="1"/>
    <col min="3540" max="3540" width="4.25" style="231" customWidth="1"/>
    <col min="3541" max="3541" width="8.875" style="231" bestFit="1" customWidth="1"/>
    <col min="3542" max="3542" width="6.375" style="231" bestFit="1" customWidth="1"/>
    <col min="3543" max="3543" width="2.125" style="231" customWidth="1"/>
    <col min="3544" max="3544" width="8.5" style="231" bestFit="1" customWidth="1"/>
    <col min="3545" max="3545" width="6.375" style="231" bestFit="1" customWidth="1"/>
    <col min="3546" max="3546" width="2.375" style="231" customWidth="1"/>
    <col min="3547" max="3547" width="9.5" style="231" bestFit="1" customWidth="1"/>
    <col min="3548" max="3548" width="7" style="231" bestFit="1" customWidth="1"/>
    <col min="3549" max="3549" width="1.75" style="231" customWidth="1"/>
    <col min="3550" max="3550" width="8.875" style="231" bestFit="1" customWidth="1"/>
    <col min="3551" max="3551" width="2" style="231" customWidth="1"/>
    <col min="3552" max="3552" width="8.875" style="231" bestFit="1" customWidth="1"/>
    <col min="3553" max="3553" width="6.375" style="231" bestFit="1" customWidth="1"/>
    <col min="3554" max="3554" width="1.375" style="231" customWidth="1"/>
    <col min="3555" max="3555" width="8.5" style="231" bestFit="1" customWidth="1"/>
    <col min="3556" max="3556" width="6.375" style="231" bestFit="1" customWidth="1"/>
    <col min="3557" max="3557" width="1.75" style="231" customWidth="1"/>
    <col min="3558" max="3558" width="9.5" style="231" bestFit="1" customWidth="1"/>
    <col min="3559" max="3559" width="7" style="231" bestFit="1" customWidth="1"/>
    <col min="3560" max="3560" width="1.625" style="231" customWidth="1"/>
    <col min="3561" max="3561" width="7.25" style="231" bestFit="1" customWidth="1"/>
    <col min="3562" max="3562" width="2.625" style="231" customWidth="1"/>
    <col min="3563" max="3563" width="13.25" style="231" customWidth="1"/>
    <col min="3564" max="3564" width="6.375" style="231" bestFit="1" customWidth="1"/>
    <col min="3565" max="3565" width="1.75" style="231" customWidth="1"/>
    <col min="3566" max="3566" width="8.5" style="231"/>
    <col min="3567" max="3567" width="42.25" style="231" bestFit="1" customWidth="1"/>
    <col min="3568" max="3568" width="1.25" style="231" customWidth="1"/>
    <col min="3569" max="3569" width="11.625" style="231" customWidth="1"/>
    <col min="3570" max="3570" width="1.25" style="231" customWidth="1"/>
    <col min="3571" max="3571" width="9.625" style="231" customWidth="1"/>
    <col min="3572" max="3572" width="8.125" style="231" customWidth="1"/>
    <col min="3573" max="3573" width="1.25" style="231" customWidth="1"/>
    <col min="3574" max="3574" width="8.125" style="231" customWidth="1"/>
    <col min="3575" max="3575" width="1.625" style="231" customWidth="1"/>
    <col min="3576" max="3576" width="8" style="231" bestFit="1" customWidth="1"/>
    <col min="3577" max="3577" width="9.75" style="231" bestFit="1" customWidth="1"/>
    <col min="3578" max="3792" width="7" style="231" customWidth="1"/>
    <col min="3793" max="3793" width="20.75" style="231" customWidth="1"/>
    <col min="3794" max="3794" width="1.875" style="231" customWidth="1"/>
    <col min="3795" max="3795" width="14.25" style="231" customWidth="1"/>
    <col min="3796" max="3796" width="4.25" style="231" customWidth="1"/>
    <col min="3797" max="3797" width="8.875" style="231" bestFit="1" customWidth="1"/>
    <col min="3798" max="3798" width="6.375" style="231" bestFit="1" customWidth="1"/>
    <col min="3799" max="3799" width="2.125" style="231" customWidth="1"/>
    <col min="3800" max="3800" width="8.5" style="231" bestFit="1" customWidth="1"/>
    <col min="3801" max="3801" width="6.375" style="231" bestFit="1" customWidth="1"/>
    <col min="3802" max="3802" width="2.375" style="231" customWidth="1"/>
    <col min="3803" max="3803" width="9.5" style="231" bestFit="1" customWidth="1"/>
    <col min="3804" max="3804" width="7" style="231" bestFit="1" customWidth="1"/>
    <col min="3805" max="3805" width="1.75" style="231" customWidth="1"/>
    <col min="3806" max="3806" width="8.875" style="231" bestFit="1" customWidth="1"/>
    <col min="3807" max="3807" width="2" style="231" customWidth="1"/>
    <col min="3808" max="3808" width="8.875" style="231" bestFit="1" customWidth="1"/>
    <col min="3809" max="3809" width="6.375" style="231" bestFit="1" customWidth="1"/>
    <col min="3810" max="3810" width="1.375" style="231" customWidth="1"/>
    <col min="3811" max="3811" width="8.5" style="231" bestFit="1" customWidth="1"/>
    <col min="3812" max="3812" width="6.375" style="231" bestFit="1" customWidth="1"/>
    <col min="3813" max="3813" width="1.75" style="231" customWidth="1"/>
    <col min="3814" max="3814" width="9.5" style="231" bestFit="1" customWidth="1"/>
    <col min="3815" max="3815" width="7" style="231" bestFit="1" customWidth="1"/>
    <col min="3816" max="3816" width="1.625" style="231" customWidth="1"/>
    <col min="3817" max="3817" width="7.25" style="231" bestFit="1" customWidth="1"/>
    <col min="3818" max="3818" width="2.625" style="231" customWidth="1"/>
    <col min="3819" max="3819" width="13.25" style="231" customWidth="1"/>
    <col min="3820" max="3820" width="6.375" style="231" bestFit="1" customWidth="1"/>
    <col min="3821" max="3821" width="1.75" style="231" customWidth="1"/>
    <col min="3822" max="3822" width="8.5" style="231"/>
    <col min="3823" max="3823" width="42.25" style="231" bestFit="1" customWidth="1"/>
    <col min="3824" max="3824" width="1.25" style="231" customWidth="1"/>
    <col min="3825" max="3825" width="11.625" style="231" customWidth="1"/>
    <col min="3826" max="3826" width="1.25" style="231" customWidth="1"/>
    <col min="3827" max="3827" width="9.625" style="231" customWidth="1"/>
    <col min="3828" max="3828" width="8.125" style="231" customWidth="1"/>
    <col min="3829" max="3829" width="1.25" style="231" customWidth="1"/>
    <col min="3830" max="3830" width="8.125" style="231" customWidth="1"/>
    <col min="3831" max="3831" width="1.625" style="231" customWidth="1"/>
    <col min="3832" max="3832" width="8" style="231" bestFit="1" customWidth="1"/>
    <col min="3833" max="3833" width="9.75" style="231" bestFit="1" customWidth="1"/>
    <col min="3834" max="4048" width="7" style="231" customWidth="1"/>
    <col min="4049" max="4049" width="20.75" style="231" customWidth="1"/>
    <col min="4050" max="4050" width="1.875" style="231" customWidth="1"/>
    <col min="4051" max="4051" width="14.25" style="231" customWidth="1"/>
    <col min="4052" max="4052" width="4.25" style="231" customWidth="1"/>
    <col min="4053" max="4053" width="8.875" style="231" bestFit="1" customWidth="1"/>
    <col min="4054" max="4054" width="6.375" style="231" bestFit="1" customWidth="1"/>
    <col min="4055" max="4055" width="2.125" style="231" customWidth="1"/>
    <col min="4056" max="4056" width="8.5" style="231" bestFit="1" customWidth="1"/>
    <col min="4057" max="4057" width="6.375" style="231" bestFit="1" customWidth="1"/>
    <col min="4058" max="4058" width="2.375" style="231" customWidth="1"/>
    <col min="4059" max="4059" width="9.5" style="231" bestFit="1" customWidth="1"/>
    <col min="4060" max="4060" width="7" style="231" bestFit="1" customWidth="1"/>
    <col min="4061" max="4061" width="1.75" style="231" customWidth="1"/>
    <col min="4062" max="4062" width="8.875" style="231" bestFit="1" customWidth="1"/>
    <col min="4063" max="4063" width="2" style="231" customWidth="1"/>
    <col min="4064" max="4064" width="8.875" style="231" bestFit="1" customWidth="1"/>
    <col min="4065" max="4065" width="6.375" style="231" bestFit="1" customWidth="1"/>
    <col min="4066" max="4066" width="1.375" style="231" customWidth="1"/>
    <col min="4067" max="4067" width="8.5" style="231" bestFit="1" customWidth="1"/>
    <col min="4068" max="4068" width="6.375" style="231" bestFit="1" customWidth="1"/>
    <col min="4069" max="4069" width="1.75" style="231" customWidth="1"/>
    <col min="4070" max="4070" width="9.5" style="231" bestFit="1" customWidth="1"/>
    <col min="4071" max="4071" width="7" style="231" bestFit="1" customWidth="1"/>
    <col min="4072" max="4072" width="1.625" style="231" customWidth="1"/>
    <col min="4073" max="4073" width="7.25" style="231" bestFit="1" customWidth="1"/>
    <col min="4074" max="4074" width="2.625" style="231" customWidth="1"/>
    <col min="4075" max="4075" width="13.25" style="231" customWidth="1"/>
    <col min="4076" max="4076" width="6.375" style="231" bestFit="1" customWidth="1"/>
    <col min="4077" max="4077" width="1.75" style="231" customWidth="1"/>
    <col min="4078" max="4078" width="8.5" style="231"/>
    <col min="4079" max="4079" width="42.25" style="231" bestFit="1" customWidth="1"/>
    <col min="4080" max="4080" width="1.25" style="231" customWidth="1"/>
    <col min="4081" max="4081" width="11.625" style="231" customWidth="1"/>
    <col min="4082" max="4082" width="1.25" style="231" customWidth="1"/>
    <col min="4083" max="4083" width="9.625" style="231" customWidth="1"/>
    <col min="4084" max="4084" width="8.125" style="231" customWidth="1"/>
    <col min="4085" max="4085" width="1.25" style="231" customWidth="1"/>
    <col min="4086" max="4086" width="8.125" style="231" customWidth="1"/>
    <col min="4087" max="4087" width="1.625" style="231" customWidth="1"/>
    <col min="4088" max="4088" width="8" style="231" bestFit="1" customWidth="1"/>
    <col min="4089" max="4089" width="9.75" style="231" bestFit="1" customWidth="1"/>
    <col min="4090" max="4304" width="7" style="231" customWidth="1"/>
    <col min="4305" max="4305" width="20.75" style="231" customWidth="1"/>
    <col min="4306" max="4306" width="1.875" style="231" customWidth="1"/>
    <col min="4307" max="4307" width="14.25" style="231" customWidth="1"/>
    <col min="4308" max="4308" width="4.25" style="231" customWidth="1"/>
    <col min="4309" max="4309" width="8.875" style="231" bestFit="1" customWidth="1"/>
    <col min="4310" max="4310" width="6.375" style="231" bestFit="1" customWidth="1"/>
    <col min="4311" max="4311" width="2.125" style="231" customWidth="1"/>
    <col min="4312" max="4312" width="8.5" style="231" bestFit="1" customWidth="1"/>
    <col min="4313" max="4313" width="6.375" style="231" bestFit="1" customWidth="1"/>
    <col min="4314" max="4314" width="2.375" style="231" customWidth="1"/>
    <col min="4315" max="4315" width="9.5" style="231" bestFit="1" customWidth="1"/>
    <col min="4316" max="4316" width="7" style="231" bestFit="1" customWidth="1"/>
    <col min="4317" max="4317" width="1.75" style="231" customWidth="1"/>
    <col min="4318" max="4318" width="8.875" style="231" bestFit="1" customWidth="1"/>
    <col min="4319" max="4319" width="2" style="231" customWidth="1"/>
    <col min="4320" max="4320" width="8.875" style="231" bestFit="1" customWidth="1"/>
    <col min="4321" max="4321" width="6.375" style="231" bestFit="1" customWidth="1"/>
    <col min="4322" max="4322" width="1.375" style="231" customWidth="1"/>
    <col min="4323" max="4323" width="8.5" style="231" bestFit="1" customWidth="1"/>
    <col min="4324" max="4324" width="6.375" style="231" bestFit="1" customWidth="1"/>
    <col min="4325" max="4325" width="1.75" style="231" customWidth="1"/>
    <col min="4326" max="4326" width="9.5" style="231" bestFit="1" customWidth="1"/>
    <col min="4327" max="4327" width="7" style="231" bestFit="1" customWidth="1"/>
    <col min="4328" max="4328" width="1.625" style="231" customWidth="1"/>
    <col min="4329" max="4329" width="7.25" style="231" bestFit="1" customWidth="1"/>
    <col min="4330" max="4330" width="2.625" style="231" customWidth="1"/>
    <col min="4331" max="4331" width="13.25" style="231" customWidth="1"/>
    <col min="4332" max="4332" width="6.375" style="231" bestFit="1" customWidth="1"/>
    <col min="4333" max="4333" width="1.75" style="231" customWidth="1"/>
    <col min="4334" max="4334" width="8.5" style="231"/>
    <col min="4335" max="4335" width="42.25" style="231" bestFit="1" customWidth="1"/>
    <col min="4336" max="4336" width="1.25" style="231" customWidth="1"/>
    <col min="4337" max="4337" width="11.625" style="231" customWidth="1"/>
    <col min="4338" max="4338" width="1.25" style="231" customWidth="1"/>
    <col min="4339" max="4339" width="9.625" style="231" customWidth="1"/>
    <col min="4340" max="4340" width="8.125" style="231" customWidth="1"/>
    <col min="4341" max="4341" width="1.25" style="231" customWidth="1"/>
    <col min="4342" max="4342" width="8.125" style="231" customWidth="1"/>
    <col min="4343" max="4343" width="1.625" style="231" customWidth="1"/>
    <col min="4344" max="4344" width="8" style="231" bestFit="1" customWidth="1"/>
    <col min="4345" max="4345" width="9.75" style="231" bestFit="1" customWidth="1"/>
    <col min="4346" max="4560" width="7" style="231" customWidth="1"/>
    <col min="4561" max="4561" width="20.75" style="231" customWidth="1"/>
    <col min="4562" max="4562" width="1.875" style="231" customWidth="1"/>
    <col min="4563" max="4563" width="14.25" style="231" customWidth="1"/>
    <col min="4564" max="4564" width="4.25" style="231" customWidth="1"/>
    <col min="4565" max="4565" width="8.875" style="231" bestFit="1" customWidth="1"/>
    <col min="4566" max="4566" width="6.375" style="231" bestFit="1" customWidth="1"/>
    <col min="4567" max="4567" width="2.125" style="231" customWidth="1"/>
    <col min="4568" max="4568" width="8.5" style="231" bestFit="1" customWidth="1"/>
    <col min="4569" max="4569" width="6.375" style="231" bestFit="1" customWidth="1"/>
    <col min="4570" max="4570" width="2.375" style="231" customWidth="1"/>
    <col min="4571" max="4571" width="9.5" style="231" bestFit="1" customWidth="1"/>
    <col min="4572" max="4572" width="7" style="231" bestFit="1" customWidth="1"/>
    <col min="4573" max="4573" width="1.75" style="231" customWidth="1"/>
    <col min="4574" max="4574" width="8.875" style="231" bestFit="1" customWidth="1"/>
    <col min="4575" max="4575" width="2" style="231" customWidth="1"/>
    <col min="4576" max="4576" width="8.875" style="231" bestFit="1" customWidth="1"/>
    <col min="4577" max="4577" width="6.375" style="231" bestFit="1" customWidth="1"/>
    <col min="4578" max="4578" width="1.375" style="231" customWidth="1"/>
    <col min="4579" max="4579" width="8.5" style="231" bestFit="1" customWidth="1"/>
    <col min="4580" max="4580" width="6.375" style="231" bestFit="1" customWidth="1"/>
    <col min="4581" max="4581" width="1.75" style="231" customWidth="1"/>
    <col min="4582" max="4582" width="9.5" style="231" bestFit="1" customWidth="1"/>
    <col min="4583" max="4583" width="7" style="231" bestFit="1" customWidth="1"/>
    <col min="4584" max="4584" width="1.625" style="231" customWidth="1"/>
    <col min="4585" max="4585" width="7.25" style="231" bestFit="1" customWidth="1"/>
    <col min="4586" max="4586" width="2.625" style="231" customWidth="1"/>
    <col min="4587" max="4587" width="13.25" style="231" customWidth="1"/>
    <col min="4588" max="4588" width="6.375" style="231" bestFit="1" customWidth="1"/>
    <col min="4589" max="4589" width="1.75" style="231" customWidth="1"/>
    <col min="4590" max="4590" width="8.5" style="231"/>
    <col min="4591" max="4591" width="42.25" style="231" bestFit="1" customWidth="1"/>
    <col min="4592" max="4592" width="1.25" style="231" customWidth="1"/>
    <col min="4593" max="4593" width="11.625" style="231" customWidth="1"/>
    <col min="4594" max="4594" width="1.25" style="231" customWidth="1"/>
    <col min="4595" max="4595" width="9.625" style="231" customWidth="1"/>
    <col min="4596" max="4596" width="8.125" style="231" customWidth="1"/>
    <col min="4597" max="4597" width="1.25" style="231" customWidth="1"/>
    <col min="4598" max="4598" width="8.125" style="231" customWidth="1"/>
    <col min="4599" max="4599" width="1.625" style="231" customWidth="1"/>
    <col min="4600" max="4600" width="8" style="231" bestFit="1" customWidth="1"/>
    <col min="4601" max="4601" width="9.75" style="231" bestFit="1" customWidth="1"/>
    <col min="4602" max="4816" width="7" style="231" customWidth="1"/>
    <col min="4817" max="4817" width="20.75" style="231" customWidth="1"/>
    <col min="4818" max="4818" width="1.875" style="231" customWidth="1"/>
    <col min="4819" max="4819" width="14.25" style="231" customWidth="1"/>
    <col min="4820" max="4820" width="4.25" style="231" customWidth="1"/>
    <col min="4821" max="4821" width="8.875" style="231" bestFit="1" customWidth="1"/>
    <col min="4822" max="4822" width="6.375" style="231" bestFit="1" customWidth="1"/>
    <col min="4823" max="4823" width="2.125" style="231" customWidth="1"/>
    <col min="4824" max="4824" width="8.5" style="231" bestFit="1" customWidth="1"/>
    <col min="4825" max="4825" width="6.375" style="231" bestFit="1" customWidth="1"/>
    <col min="4826" max="4826" width="2.375" style="231" customWidth="1"/>
    <col min="4827" max="4827" width="9.5" style="231" bestFit="1" customWidth="1"/>
    <col min="4828" max="4828" width="7" style="231" bestFit="1" customWidth="1"/>
    <col min="4829" max="4829" width="1.75" style="231" customWidth="1"/>
    <col min="4830" max="4830" width="8.875" style="231" bestFit="1" customWidth="1"/>
    <col min="4831" max="4831" width="2" style="231" customWidth="1"/>
    <col min="4832" max="4832" width="8.875" style="231" bestFit="1" customWidth="1"/>
    <col min="4833" max="4833" width="6.375" style="231" bestFit="1" customWidth="1"/>
    <col min="4834" max="4834" width="1.375" style="231" customWidth="1"/>
    <col min="4835" max="4835" width="8.5" style="231" bestFit="1" customWidth="1"/>
    <col min="4836" max="4836" width="6.375" style="231" bestFit="1" customWidth="1"/>
    <col min="4837" max="4837" width="1.75" style="231" customWidth="1"/>
    <col min="4838" max="4838" width="9.5" style="231" bestFit="1" customWidth="1"/>
    <col min="4839" max="4839" width="7" style="231" bestFit="1" customWidth="1"/>
    <col min="4840" max="4840" width="1.625" style="231" customWidth="1"/>
    <col min="4841" max="4841" width="7.25" style="231" bestFit="1" customWidth="1"/>
    <col min="4842" max="4842" width="2.625" style="231" customWidth="1"/>
    <col min="4843" max="4843" width="13.25" style="231" customWidth="1"/>
    <col min="4844" max="4844" width="6.375" style="231" bestFit="1" customWidth="1"/>
    <col min="4845" max="4845" width="1.75" style="231" customWidth="1"/>
    <col min="4846" max="4846" width="8.5" style="231"/>
    <col min="4847" max="4847" width="42.25" style="231" bestFit="1" customWidth="1"/>
    <col min="4848" max="4848" width="1.25" style="231" customWidth="1"/>
    <col min="4849" max="4849" width="11.625" style="231" customWidth="1"/>
    <col min="4850" max="4850" width="1.25" style="231" customWidth="1"/>
    <col min="4851" max="4851" width="9.625" style="231" customWidth="1"/>
    <col min="4852" max="4852" width="8.125" style="231" customWidth="1"/>
    <col min="4853" max="4853" width="1.25" style="231" customWidth="1"/>
    <col min="4854" max="4854" width="8.125" style="231" customWidth="1"/>
    <col min="4855" max="4855" width="1.625" style="231" customWidth="1"/>
    <col min="4856" max="4856" width="8" style="231" bestFit="1" customWidth="1"/>
    <col min="4857" max="4857" width="9.75" style="231" bestFit="1" customWidth="1"/>
    <col min="4858" max="5072" width="7" style="231" customWidth="1"/>
    <col min="5073" max="5073" width="20.75" style="231" customWidth="1"/>
    <col min="5074" max="5074" width="1.875" style="231" customWidth="1"/>
    <col min="5075" max="5075" width="14.25" style="231" customWidth="1"/>
    <col min="5076" max="5076" width="4.25" style="231" customWidth="1"/>
    <col min="5077" max="5077" width="8.875" style="231" bestFit="1" customWidth="1"/>
    <col min="5078" max="5078" width="6.375" style="231" bestFit="1" customWidth="1"/>
    <col min="5079" max="5079" width="2.125" style="231" customWidth="1"/>
    <col min="5080" max="5080" width="8.5" style="231" bestFit="1" customWidth="1"/>
    <col min="5081" max="5081" width="6.375" style="231" bestFit="1" customWidth="1"/>
    <col min="5082" max="5082" width="2.375" style="231" customWidth="1"/>
    <col min="5083" max="5083" width="9.5" style="231" bestFit="1" customWidth="1"/>
    <col min="5084" max="5084" width="7" style="231" bestFit="1" customWidth="1"/>
    <col min="5085" max="5085" width="1.75" style="231" customWidth="1"/>
    <col min="5086" max="5086" width="8.875" style="231" bestFit="1" customWidth="1"/>
    <col min="5087" max="5087" width="2" style="231" customWidth="1"/>
    <col min="5088" max="5088" width="8.875" style="231" bestFit="1" customWidth="1"/>
    <col min="5089" max="5089" width="6.375" style="231" bestFit="1" customWidth="1"/>
    <col min="5090" max="5090" width="1.375" style="231" customWidth="1"/>
    <col min="5091" max="5091" width="8.5" style="231" bestFit="1" customWidth="1"/>
    <col min="5092" max="5092" width="6.375" style="231" bestFit="1" customWidth="1"/>
    <col min="5093" max="5093" width="1.75" style="231" customWidth="1"/>
    <col min="5094" max="5094" width="9.5" style="231" bestFit="1" customWidth="1"/>
    <col min="5095" max="5095" width="7" style="231" bestFit="1" customWidth="1"/>
    <col min="5096" max="5096" width="1.625" style="231" customWidth="1"/>
    <col min="5097" max="5097" width="7.25" style="231" bestFit="1" customWidth="1"/>
    <col min="5098" max="5098" width="2.625" style="231" customWidth="1"/>
    <col min="5099" max="5099" width="13.25" style="231" customWidth="1"/>
    <col min="5100" max="5100" width="6.375" style="231" bestFit="1" customWidth="1"/>
    <col min="5101" max="5101" width="1.75" style="231" customWidth="1"/>
    <col min="5102" max="5102" width="8.5" style="231"/>
    <col min="5103" max="5103" width="42.25" style="231" bestFit="1" customWidth="1"/>
    <col min="5104" max="5104" width="1.25" style="231" customWidth="1"/>
    <col min="5105" max="5105" width="11.625" style="231" customWidth="1"/>
    <col min="5106" max="5106" width="1.25" style="231" customWidth="1"/>
    <col min="5107" max="5107" width="9.625" style="231" customWidth="1"/>
    <col min="5108" max="5108" width="8.125" style="231" customWidth="1"/>
    <col min="5109" max="5109" width="1.25" style="231" customWidth="1"/>
    <col min="5110" max="5110" width="8.125" style="231" customWidth="1"/>
    <col min="5111" max="5111" width="1.625" style="231" customWidth="1"/>
    <col min="5112" max="5112" width="8" style="231" bestFit="1" customWidth="1"/>
    <col min="5113" max="5113" width="9.75" style="231" bestFit="1" customWidth="1"/>
    <col min="5114" max="5328" width="7" style="231" customWidth="1"/>
    <col min="5329" max="5329" width="20.75" style="231" customWidth="1"/>
    <col min="5330" max="5330" width="1.875" style="231" customWidth="1"/>
    <col min="5331" max="5331" width="14.25" style="231" customWidth="1"/>
    <col min="5332" max="5332" width="4.25" style="231" customWidth="1"/>
    <col min="5333" max="5333" width="8.875" style="231" bestFit="1" customWidth="1"/>
    <col min="5334" max="5334" width="6.375" style="231" bestFit="1" customWidth="1"/>
    <col min="5335" max="5335" width="2.125" style="231" customWidth="1"/>
    <col min="5336" max="5336" width="8.5" style="231" bestFit="1" customWidth="1"/>
    <col min="5337" max="5337" width="6.375" style="231" bestFit="1" customWidth="1"/>
    <col min="5338" max="5338" width="2.375" style="231" customWidth="1"/>
    <col min="5339" max="5339" width="9.5" style="231" bestFit="1" customWidth="1"/>
    <col min="5340" max="5340" width="7" style="231" bestFit="1" customWidth="1"/>
    <col min="5341" max="5341" width="1.75" style="231" customWidth="1"/>
    <col min="5342" max="5342" width="8.875" style="231" bestFit="1" customWidth="1"/>
    <col min="5343" max="5343" width="2" style="231" customWidth="1"/>
    <col min="5344" max="5344" width="8.875" style="231" bestFit="1" customWidth="1"/>
    <col min="5345" max="5345" width="6.375" style="231" bestFit="1" customWidth="1"/>
    <col min="5346" max="5346" width="1.375" style="231" customWidth="1"/>
    <col min="5347" max="5347" width="8.5" style="231" bestFit="1" customWidth="1"/>
    <col min="5348" max="5348" width="6.375" style="231" bestFit="1" customWidth="1"/>
    <col min="5349" max="5349" width="1.75" style="231" customWidth="1"/>
    <col min="5350" max="5350" width="9.5" style="231" bestFit="1" customWidth="1"/>
    <col min="5351" max="5351" width="7" style="231" bestFit="1" customWidth="1"/>
    <col min="5352" max="5352" width="1.625" style="231" customWidth="1"/>
    <col min="5353" max="5353" width="7.25" style="231" bestFit="1" customWidth="1"/>
    <col min="5354" max="5354" width="2.625" style="231" customWidth="1"/>
    <col min="5355" max="5355" width="13.25" style="231" customWidth="1"/>
    <col min="5356" max="5356" width="6.375" style="231" bestFit="1" customWidth="1"/>
    <col min="5357" max="5357" width="1.75" style="231" customWidth="1"/>
    <col min="5358" max="5358" width="8.5" style="231"/>
    <col min="5359" max="5359" width="42.25" style="231" bestFit="1" customWidth="1"/>
    <col min="5360" max="5360" width="1.25" style="231" customWidth="1"/>
    <col min="5361" max="5361" width="11.625" style="231" customWidth="1"/>
    <col min="5362" max="5362" width="1.25" style="231" customWidth="1"/>
    <col min="5363" max="5363" width="9.625" style="231" customWidth="1"/>
    <col min="5364" max="5364" width="8.125" style="231" customWidth="1"/>
    <col min="5365" max="5365" width="1.25" style="231" customWidth="1"/>
    <col min="5366" max="5366" width="8.125" style="231" customWidth="1"/>
    <col min="5367" max="5367" width="1.625" style="231" customWidth="1"/>
    <col min="5368" max="5368" width="8" style="231" bestFit="1" customWidth="1"/>
    <col min="5369" max="5369" width="9.75" style="231" bestFit="1" customWidth="1"/>
    <col min="5370" max="5584" width="7" style="231" customWidth="1"/>
    <col min="5585" max="5585" width="20.75" style="231" customWidth="1"/>
    <col min="5586" max="5586" width="1.875" style="231" customWidth="1"/>
    <col min="5587" max="5587" width="14.25" style="231" customWidth="1"/>
    <col min="5588" max="5588" width="4.25" style="231" customWidth="1"/>
    <col min="5589" max="5589" width="8.875" style="231" bestFit="1" customWidth="1"/>
    <col min="5590" max="5590" width="6.375" style="231" bestFit="1" customWidth="1"/>
    <col min="5591" max="5591" width="2.125" style="231" customWidth="1"/>
    <col min="5592" max="5592" width="8.5" style="231" bestFit="1" customWidth="1"/>
    <col min="5593" max="5593" width="6.375" style="231" bestFit="1" customWidth="1"/>
    <col min="5594" max="5594" width="2.375" style="231" customWidth="1"/>
    <col min="5595" max="5595" width="9.5" style="231" bestFit="1" customWidth="1"/>
    <col min="5596" max="5596" width="7" style="231" bestFit="1" customWidth="1"/>
    <col min="5597" max="5597" width="1.75" style="231" customWidth="1"/>
    <col min="5598" max="5598" width="8.875" style="231" bestFit="1" customWidth="1"/>
    <col min="5599" max="5599" width="2" style="231" customWidth="1"/>
    <col min="5600" max="5600" width="8.875" style="231" bestFit="1" customWidth="1"/>
    <col min="5601" max="5601" width="6.375" style="231" bestFit="1" customWidth="1"/>
    <col min="5602" max="5602" width="1.375" style="231" customWidth="1"/>
    <col min="5603" max="5603" width="8.5" style="231" bestFit="1" customWidth="1"/>
    <col min="5604" max="5604" width="6.375" style="231" bestFit="1" customWidth="1"/>
    <col min="5605" max="5605" width="1.75" style="231" customWidth="1"/>
    <col min="5606" max="5606" width="9.5" style="231" bestFit="1" customWidth="1"/>
    <col min="5607" max="5607" width="7" style="231" bestFit="1" customWidth="1"/>
    <col min="5608" max="5608" width="1.625" style="231" customWidth="1"/>
    <col min="5609" max="5609" width="7.25" style="231" bestFit="1" customWidth="1"/>
    <col min="5610" max="5610" width="2.625" style="231" customWidth="1"/>
    <col min="5611" max="5611" width="13.25" style="231" customWidth="1"/>
    <col min="5612" max="5612" width="6.375" style="231" bestFit="1" customWidth="1"/>
    <col min="5613" max="5613" width="1.75" style="231" customWidth="1"/>
    <col min="5614" max="5614" width="8.5" style="231"/>
    <col min="5615" max="5615" width="42.25" style="231" bestFit="1" customWidth="1"/>
    <col min="5616" max="5616" width="1.25" style="231" customWidth="1"/>
    <col min="5617" max="5617" width="11.625" style="231" customWidth="1"/>
    <col min="5618" max="5618" width="1.25" style="231" customWidth="1"/>
    <col min="5619" max="5619" width="9.625" style="231" customWidth="1"/>
    <col min="5620" max="5620" width="8.125" style="231" customWidth="1"/>
    <col min="5621" max="5621" width="1.25" style="231" customWidth="1"/>
    <col min="5622" max="5622" width="8.125" style="231" customWidth="1"/>
    <col min="5623" max="5623" width="1.625" style="231" customWidth="1"/>
    <col min="5624" max="5624" width="8" style="231" bestFit="1" customWidth="1"/>
    <col min="5625" max="5625" width="9.75" style="231" bestFit="1" customWidth="1"/>
    <col min="5626" max="5840" width="7" style="231" customWidth="1"/>
    <col min="5841" max="5841" width="20.75" style="231" customWidth="1"/>
    <col min="5842" max="5842" width="1.875" style="231" customWidth="1"/>
    <col min="5843" max="5843" width="14.25" style="231" customWidth="1"/>
    <col min="5844" max="5844" width="4.25" style="231" customWidth="1"/>
    <col min="5845" max="5845" width="8.875" style="231" bestFit="1" customWidth="1"/>
    <col min="5846" max="5846" width="6.375" style="231" bestFit="1" customWidth="1"/>
    <col min="5847" max="5847" width="2.125" style="231" customWidth="1"/>
    <col min="5848" max="5848" width="8.5" style="231" bestFit="1" customWidth="1"/>
    <col min="5849" max="5849" width="6.375" style="231" bestFit="1" customWidth="1"/>
    <col min="5850" max="5850" width="2.375" style="231" customWidth="1"/>
    <col min="5851" max="5851" width="9.5" style="231" bestFit="1" customWidth="1"/>
    <col min="5852" max="5852" width="7" style="231" bestFit="1" customWidth="1"/>
    <col min="5853" max="5853" width="1.75" style="231" customWidth="1"/>
    <col min="5854" max="5854" width="8.875" style="231" bestFit="1" customWidth="1"/>
    <col min="5855" max="5855" width="2" style="231" customWidth="1"/>
    <col min="5856" max="5856" width="8.875" style="231" bestFit="1" customWidth="1"/>
    <col min="5857" max="5857" width="6.375" style="231" bestFit="1" customWidth="1"/>
    <col min="5858" max="5858" width="1.375" style="231" customWidth="1"/>
    <col min="5859" max="5859" width="8.5" style="231" bestFit="1" customWidth="1"/>
    <col min="5860" max="5860" width="6.375" style="231" bestFit="1" customWidth="1"/>
    <col min="5861" max="5861" width="1.75" style="231" customWidth="1"/>
    <col min="5862" max="5862" width="9.5" style="231" bestFit="1" customWidth="1"/>
    <col min="5863" max="5863" width="7" style="231" bestFit="1" customWidth="1"/>
    <col min="5864" max="5864" width="1.625" style="231" customWidth="1"/>
    <col min="5865" max="5865" width="7.25" style="231" bestFit="1" customWidth="1"/>
    <col min="5866" max="5866" width="2.625" style="231" customWidth="1"/>
    <col min="5867" max="5867" width="13.25" style="231" customWidth="1"/>
    <col min="5868" max="5868" width="6.375" style="231" bestFit="1" customWidth="1"/>
    <col min="5869" max="5869" width="1.75" style="231" customWidth="1"/>
    <col min="5870" max="5870" width="8.5" style="231"/>
    <col min="5871" max="5871" width="42.25" style="231" bestFit="1" customWidth="1"/>
    <col min="5872" max="5872" width="1.25" style="231" customWidth="1"/>
    <col min="5873" max="5873" width="11.625" style="231" customWidth="1"/>
    <col min="5874" max="5874" width="1.25" style="231" customWidth="1"/>
    <col min="5875" max="5875" width="9.625" style="231" customWidth="1"/>
    <col min="5876" max="5876" width="8.125" style="231" customWidth="1"/>
    <col min="5877" max="5877" width="1.25" style="231" customWidth="1"/>
    <col min="5878" max="5878" width="8.125" style="231" customWidth="1"/>
    <col min="5879" max="5879" width="1.625" style="231" customWidth="1"/>
    <col min="5880" max="5880" width="8" style="231" bestFit="1" customWidth="1"/>
    <col min="5881" max="5881" width="9.75" style="231" bestFit="1" customWidth="1"/>
    <col min="5882" max="6096" width="7" style="231" customWidth="1"/>
    <col min="6097" max="6097" width="20.75" style="231" customWidth="1"/>
    <col min="6098" max="6098" width="1.875" style="231" customWidth="1"/>
    <col min="6099" max="6099" width="14.25" style="231" customWidth="1"/>
    <col min="6100" max="6100" width="4.25" style="231" customWidth="1"/>
    <col min="6101" max="6101" width="8.875" style="231" bestFit="1" customWidth="1"/>
    <col min="6102" max="6102" width="6.375" style="231" bestFit="1" customWidth="1"/>
    <col min="6103" max="6103" width="2.125" style="231" customWidth="1"/>
    <col min="6104" max="6104" width="8.5" style="231" bestFit="1" customWidth="1"/>
    <col min="6105" max="6105" width="6.375" style="231" bestFit="1" customWidth="1"/>
    <col min="6106" max="6106" width="2.375" style="231" customWidth="1"/>
    <col min="6107" max="6107" width="9.5" style="231" bestFit="1" customWidth="1"/>
    <col min="6108" max="6108" width="7" style="231" bestFit="1" customWidth="1"/>
    <col min="6109" max="6109" width="1.75" style="231" customWidth="1"/>
    <col min="6110" max="6110" width="8.875" style="231" bestFit="1" customWidth="1"/>
    <col min="6111" max="6111" width="2" style="231" customWidth="1"/>
    <col min="6112" max="6112" width="8.875" style="231" bestFit="1" customWidth="1"/>
    <col min="6113" max="6113" width="6.375" style="231" bestFit="1" customWidth="1"/>
    <col min="6114" max="6114" width="1.375" style="231" customWidth="1"/>
    <col min="6115" max="6115" width="8.5" style="231" bestFit="1" customWidth="1"/>
    <col min="6116" max="6116" width="6.375" style="231" bestFit="1" customWidth="1"/>
    <col min="6117" max="6117" width="1.75" style="231" customWidth="1"/>
    <col min="6118" max="6118" width="9.5" style="231" bestFit="1" customWidth="1"/>
    <col min="6119" max="6119" width="7" style="231" bestFit="1" customWidth="1"/>
    <col min="6120" max="6120" width="1.625" style="231" customWidth="1"/>
    <col min="6121" max="6121" width="7.25" style="231" bestFit="1" customWidth="1"/>
    <col min="6122" max="6122" width="2.625" style="231" customWidth="1"/>
    <col min="6123" max="6123" width="13.25" style="231" customWidth="1"/>
    <col min="6124" max="6124" width="6.375" style="231" bestFit="1" customWidth="1"/>
    <col min="6125" max="6125" width="1.75" style="231" customWidth="1"/>
    <col min="6126" max="6126" width="8.5" style="231"/>
    <col min="6127" max="6127" width="42.25" style="231" bestFit="1" customWidth="1"/>
    <col min="6128" max="6128" width="1.25" style="231" customWidth="1"/>
    <col min="6129" max="6129" width="11.625" style="231" customWidth="1"/>
    <col min="6130" max="6130" width="1.25" style="231" customWidth="1"/>
    <col min="6131" max="6131" width="9.625" style="231" customWidth="1"/>
    <col min="6132" max="6132" width="8.125" style="231" customWidth="1"/>
    <col min="6133" max="6133" width="1.25" style="231" customWidth="1"/>
    <col min="6134" max="6134" width="8.125" style="231" customWidth="1"/>
    <col min="6135" max="6135" width="1.625" style="231" customWidth="1"/>
    <col min="6136" max="6136" width="8" style="231" bestFit="1" customWidth="1"/>
    <col min="6137" max="6137" width="9.75" style="231" bestFit="1" customWidth="1"/>
    <col min="6138" max="6352" width="7" style="231" customWidth="1"/>
    <col min="6353" max="6353" width="20.75" style="231" customWidth="1"/>
    <col min="6354" max="6354" width="1.875" style="231" customWidth="1"/>
    <col min="6355" max="6355" width="14.25" style="231" customWidth="1"/>
    <col min="6356" max="6356" width="4.25" style="231" customWidth="1"/>
    <col min="6357" max="6357" width="8.875" style="231" bestFit="1" customWidth="1"/>
    <col min="6358" max="6358" width="6.375" style="231" bestFit="1" customWidth="1"/>
    <col min="6359" max="6359" width="2.125" style="231" customWidth="1"/>
    <col min="6360" max="6360" width="8.5" style="231" bestFit="1" customWidth="1"/>
    <col min="6361" max="6361" width="6.375" style="231" bestFit="1" customWidth="1"/>
    <col min="6362" max="6362" width="2.375" style="231" customWidth="1"/>
    <col min="6363" max="6363" width="9.5" style="231" bestFit="1" customWidth="1"/>
    <col min="6364" max="6364" width="7" style="231" bestFit="1" customWidth="1"/>
    <col min="6365" max="6365" width="1.75" style="231" customWidth="1"/>
    <col min="6366" max="6366" width="8.875" style="231" bestFit="1" customWidth="1"/>
    <col min="6367" max="6367" width="2" style="231" customWidth="1"/>
    <col min="6368" max="6368" width="8.875" style="231" bestFit="1" customWidth="1"/>
    <col min="6369" max="6369" width="6.375" style="231" bestFit="1" customWidth="1"/>
    <col min="6370" max="6370" width="1.375" style="231" customWidth="1"/>
    <col min="6371" max="6371" width="8.5" style="231" bestFit="1" customWidth="1"/>
    <col min="6372" max="6372" width="6.375" style="231" bestFit="1" customWidth="1"/>
    <col min="6373" max="6373" width="1.75" style="231" customWidth="1"/>
    <col min="6374" max="6374" width="9.5" style="231" bestFit="1" customWidth="1"/>
    <col min="6375" max="6375" width="7" style="231" bestFit="1" customWidth="1"/>
    <col min="6376" max="6376" width="1.625" style="231" customWidth="1"/>
    <col min="6377" max="6377" width="7.25" style="231" bestFit="1" customWidth="1"/>
    <col min="6378" max="6378" width="2.625" style="231" customWidth="1"/>
    <col min="6379" max="6379" width="13.25" style="231" customWidth="1"/>
    <col min="6380" max="6380" width="6.375" style="231" bestFit="1" customWidth="1"/>
    <col min="6381" max="6381" width="1.75" style="231" customWidth="1"/>
    <col min="6382" max="6382" width="8.5" style="231"/>
    <col min="6383" max="6383" width="42.25" style="231" bestFit="1" customWidth="1"/>
    <col min="6384" max="6384" width="1.25" style="231" customWidth="1"/>
    <col min="6385" max="6385" width="11.625" style="231" customWidth="1"/>
    <col min="6386" max="6386" width="1.25" style="231" customWidth="1"/>
    <col min="6387" max="6387" width="9.625" style="231" customWidth="1"/>
    <col min="6388" max="6388" width="8.125" style="231" customWidth="1"/>
    <col min="6389" max="6389" width="1.25" style="231" customWidth="1"/>
    <col min="6390" max="6390" width="8.125" style="231" customWidth="1"/>
    <col min="6391" max="6391" width="1.625" style="231" customWidth="1"/>
    <col min="6392" max="6392" width="8" style="231" bestFit="1" customWidth="1"/>
    <col min="6393" max="6393" width="9.75" style="231" bestFit="1" customWidth="1"/>
    <col min="6394" max="6608" width="7" style="231" customWidth="1"/>
    <col min="6609" max="6609" width="20.75" style="231" customWidth="1"/>
    <col min="6610" max="6610" width="1.875" style="231" customWidth="1"/>
    <col min="6611" max="6611" width="14.25" style="231" customWidth="1"/>
    <col min="6612" max="6612" width="4.25" style="231" customWidth="1"/>
    <col min="6613" max="6613" width="8.875" style="231" bestFit="1" customWidth="1"/>
    <col min="6614" max="6614" width="6.375" style="231" bestFit="1" customWidth="1"/>
    <col min="6615" max="6615" width="2.125" style="231" customWidth="1"/>
    <col min="6616" max="6616" width="8.5" style="231" bestFit="1" customWidth="1"/>
    <col min="6617" max="6617" width="6.375" style="231" bestFit="1" customWidth="1"/>
    <col min="6618" max="6618" width="2.375" style="231" customWidth="1"/>
    <col min="6619" max="6619" width="9.5" style="231" bestFit="1" customWidth="1"/>
    <col min="6620" max="6620" width="7" style="231" bestFit="1" customWidth="1"/>
    <col min="6621" max="6621" width="1.75" style="231" customWidth="1"/>
    <col min="6622" max="6622" width="8.875" style="231" bestFit="1" customWidth="1"/>
    <col min="6623" max="6623" width="2" style="231" customWidth="1"/>
    <col min="6624" max="6624" width="8.875" style="231" bestFit="1" customWidth="1"/>
    <col min="6625" max="6625" width="6.375" style="231" bestFit="1" customWidth="1"/>
    <col min="6626" max="6626" width="1.375" style="231" customWidth="1"/>
    <col min="6627" max="6627" width="8.5" style="231" bestFit="1" customWidth="1"/>
    <col min="6628" max="6628" width="6.375" style="231" bestFit="1" customWidth="1"/>
    <col min="6629" max="6629" width="1.75" style="231" customWidth="1"/>
    <col min="6630" max="6630" width="9.5" style="231" bestFit="1" customWidth="1"/>
    <col min="6631" max="6631" width="7" style="231" bestFit="1" customWidth="1"/>
    <col min="6632" max="6632" width="1.625" style="231" customWidth="1"/>
    <col min="6633" max="6633" width="7.25" style="231" bestFit="1" customWidth="1"/>
    <col min="6634" max="6634" width="2.625" style="231" customWidth="1"/>
    <col min="6635" max="6635" width="13.25" style="231" customWidth="1"/>
    <col min="6636" max="6636" width="6.375" style="231" bestFit="1" customWidth="1"/>
    <col min="6637" max="6637" width="1.75" style="231" customWidth="1"/>
    <col min="6638" max="6638" width="8.5" style="231"/>
    <col min="6639" max="6639" width="42.25" style="231" bestFit="1" customWidth="1"/>
    <col min="6640" max="6640" width="1.25" style="231" customWidth="1"/>
    <col min="6641" max="6641" width="11.625" style="231" customWidth="1"/>
    <col min="6642" max="6642" width="1.25" style="231" customWidth="1"/>
    <col min="6643" max="6643" width="9.625" style="231" customWidth="1"/>
    <col min="6644" max="6644" width="8.125" style="231" customWidth="1"/>
    <col min="6645" max="6645" width="1.25" style="231" customWidth="1"/>
    <col min="6646" max="6646" width="8.125" style="231" customWidth="1"/>
    <col min="6647" max="6647" width="1.625" style="231" customWidth="1"/>
    <col min="6648" max="6648" width="8" style="231" bestFit="1" customWidth="1"/>
    <col min="6649" max="6649" width="9.75" style="231" bestFit="1" customWidth="1"/>
    <col min="6650" max="6864" width="7" style="231" customWidth="1"/>
    <col min="6865" max="6865" width="20.75" style="231" customWidth="1"/>
    <col min="6866" max="6866" width="1.875" style="231" customWidth="1"/>
    <col min="6867" max="6867" width="14.25" style="231" customWidth="1"/>
    <col min="6868" max="6868" width="4.25" style="231" customWidth="1"/>
    <col min="6869" max="6869" width="8.875" style="231" bestFit="1" customWidth="1"/>
    <col min="6870" max="6870" width="6.375" style="231" bestFit="1" customWidth="1"/>
    <col min="6871" max="6871" width="2.125" style="231" customWidth="1"/>
    <col min="6872" max="6872" width="8.5" style="231" bestFit="1" customWidth="1"/>
    <col min="6873" max="6873" width="6.375" style="231" bestFit="1" customWidth="1"/>
    <col min="6874" max="6874" width="2.375" style="231" customWidth="1"/>
    <col min="6875" max="6875" width="9.5" style="231" bestFit="1" customWidth="1"/>
    <col min="6876" max="6876" width="7" style="231" bestFit="1" customWidth="1"/>
    <col min="6877" max="6877" width="1.75" style="231" customWidth="1"/>
    <col min="6878" max="6878" width="8.875" style="231" bestFit="1" customWidth="1"/>
    <col min="6879" max="6879" width="2" style="231" customWidth="1"/>
    <col min="6880" max="6880" width="8.875" style="231" bestFit="1" customWidth="1"/>
    <col min="6881" max="6881" width="6.375" style="231" bestFit="1" customWidth="1"/>
    <col min="6882" max="6882" width="1.375" style="231" customWidth="1"/>
    <col min="6883" max="6883" width="8.5" style="231" bestFit="1" customWidth="1"/>
    <col min="6884" max="6884" width="6.375" style="231" bestFit="1" customWidth="1"/>
    <col min="6885" max="6885" width="1.75" style="231" customWidth="1"/>
    <col min="6886" max="6886" width="9.5" style="231" bestFit="1" customWidth="1"/>
    <col min="6887" max="6887" width="7" style="231" bestFit="1" customWidth="1"/>
    <col min="6888" max="6888" width="1.625" style="231" customWidth="1"/>
    <col min="6889" max="6889" width="7.25" style="231" bestFit="1" customWidth="1"/>
    <col min="6890" max="6890" width="2.625" style="231" customWidth="1"/>
    <col min="6891" max="6891" width="13.25" style="231" customWidth="1"/>
    <col min="6892" max="6892" width="6.375" style="231" bestFit="1" customWidth="1"/>
    <col min="6893" max="6893" width="1.75" style="231" customWidth="1"/>
    <col min="6894" max="6894" width="8.5" style="231"/>
    <col min="6895" max="6895" width="42.25" style="231" bestFit="1" customWidth="1"/>
    <col min="6896" max="6896" width="1.25" style="231" customWidth="1"/>
    <col min="6897" max="6897" width="11.625" style="231" customWidth="1"/>
    <col min="6898" max="6898" width="1.25" style="231" customWidth="1"/>
    <col min="6899" max="6899" width="9.625" style="231" customWidth="1"/>
    <col min="6900" max="6900" width="8.125" style="231" customWidth="1"/>
    <col min="6901" max="6901" width="1.25" style="231" customWidth="1"/>
    <col min="6902" max="6902" width="8.125" style="231" customWidth="1"/>
    <col min="6903" max="6903" width="1.625" style="231" customWidth="1"/>
    <col min="6904" max="6904" width="8" style="231" bestFit="1" customWidth="1"/>
    <col min="6905" max="6905" width="9.75" style="231" bestFit="1" customWidth="1"/>
    <col min="6906" max="7120" width="7" style="231" customWidth="1"/>
    <col min="7121" max="7121" width="20.75" style="231" customWidth="1"/>
    <col min="7122" max="7122" width="1.875" style="231" customWidth="1"/>
    <col min="7123" max="7123" width="14.25" style="231" customWidth="1"/>
    <col min="7124" max="7124" width="4.25" style="231" customWidth="1"/>
    <col min="7125" max="7125" width="8.875" style="231" bestFit="1" customWidth="1"/>
    <col min="7126" max="7126" width="6.375" style="231" bestFit="1" customWidth="1"/>
    <col min="7127" max="7127" width="2.125" style="231" customWidth="1"/>
    <col min="7128" max="7128" width="8.5" style="231" bestFit="1" customWidth="1"/>
    <col min="7129" max="7129" width="6.375" style="231" bestFit="1" customWidth="1"/>
    <col min="7130" max="7130" width="2.375" style="231" customWidth="1"/>
    <col min="7131" max="7131" width="9.5" style="231" bestFit="1" customWidth="1"/>
    <col min="7132" max="7132" width="7" style="231" bestFit="1" customWidth="1"/>
    <col min="7133" max="7133" width="1.75" style="231" customWidth="1"/>
    <col min="7134" max="7134" width="8.875" style="231" bestFit="1" customWidth="1"/>
    <col min="7135" max="7135" width="2" style="231" customWidth="1"/>
    <col min="7136" max="7136" width="8.875" style="231" bestFit="1" customWidth="1"/>
    <col min="7137" max="7137" width="6.375" style="231" bestFit="1" customWidth="1"/>
    <col min="7138" max="7138" width="1.375" style="231" customWidth="1"/>
    <col min="7139" max="7139" width="8.5" style="231" bestFit="1" customWidth="1"/>
    <col min="7140" max="7140" width="6.375" style="231" bestFit="1" customWidth="1"/>
    <col min="7141" max="7141" width="1.75" style="231" customWidth="1"/>
    <col min="7142" max="7142" width="9.5" style="231" bestFit="1" customWidth="1"/>
    <col min="7143" max="7143" width="7" style="231" bestFit="1" customWidth="1"/>
    <col min="7144" max="7144" width="1.625" style="231" customWidth="1"/>
    <col min="7145" max="7145" width="7.25" style="231" bestFit="1" customWidth="1"/>
    <col min="7146" max="7146" width="2.625" style="231" customWidth="1"/>
    <col min="7147" max="7147" width="13.25" style="231" customWidth="1"/>
    <col min="7148" max="7148" width="6.375" style="231" bestFit="1" customWidth="1"/>
    <col min="7149" max="7149" width="1.75" style="231" customWidth="1"/>
    <col min="7150" max="7150" width="8.5" style="231"/>
    <col min="7151" max="7151" width="42.25" style="231" bestFit="1" customWidth="1"/>
    <col min="7152" max="7152" width="1.25" style="231" customWidth="1"/>
    <col min="7153" max="7153" width="11.625" style="231" customWidth="1"/>
    <col min="7154" max="7154" width="1.25" style="231" customWidth="1"/>
    <col min="7155" max="7155" width="9.625" style="231" customWidth="1"/>
    <col min="7156" max="7156" width="8.125" style="231" customWidth="1"/>
    <col min="7157" max="7157" width="1.25" style="231" customWidth="1"/>
    <col min="7158" max="7158" width="8.125" style="231" customWidth="1"/>
    <col min="7159" max="7159" width="1.625" style="231" customWidth="1"/>
    <col min="7160" max="7160" width="8" style="231" bestFit="1" customWidth="1"/>
    <col min="7161" max="7161" width="9.75" style="231" bestFit="1" customWidth="1"/>
    <col min="7162" max="7376" width="7" style="231" customWidth="1"/>
    <col min="7377" max="7377" width="20.75" style="231" customWidth="1"/>
    <col min="7378" max="7378" width="1.875" style="231" customWidth="1"/>
    <col min="7379" max="7379" width="14.25" style="231" customWidth="1"/>
    <col min="7380" max="7380" width="4.25" style="231" customWidth="1"/>
    <col min="7381" max="7381" width="8.875" style="231" bestFit="1" customWidth="1"/>
    <col min="7382" max="7382" width="6.375" style="231" bestFit="1" customWidth="1"/>
    <col min="7383" max="7383" width="2.125" style="231" customWidth="1"/>
    <col min="7384" max="7384" width="8.5" style="231" bestFit="1" customWidth="1"/>
    <col min="7385" max="7385" width="6.375" style="231" bestFit="1" customWidth="1"/>
    <col min="7386" max="7386" width="2.375" style="231" customWidth="1"/>
    <col min="7387" max="7387" width="9.5" style="231" bestFit="1" customWidth="1"/>
    <col min="7388" max="7388" width="7" style="231" bestFit="1" customWidth="1"/>
    <col min="7389" max="7389" width="1.75" style="231" customWidth="1"/>
    <col min="7390" max="7390" width="8.875" style="231" bestFit="1" customWidth="1"/>
    <col min="7391" max="7391" width="2" style="231" customWidth="1"/>
    <col min="7392" max="7392" width="8.875" style="231" bestFit="1" customWidth="1"/>
    <col min="7393" max="7393" width="6.375" style="231" bestFit="1" customWidth="1"/>
    <col min="7394" max="7394" width="1.375" style="231" customWidth="1"/>
    <col min="7395" max="7395" width="8.5" style="231" bestFit="1" customWidth="1"/>
    <col min="7396" max="7396" width="6.375" style="231" bestFit="1" customWidth="1"/>
    <col min="7397" max="7397" width="1.75" style="231" customWidth="1"/>
    <col min="7398" max="7398" width="9.5" style="231" bestFit="1" customWidth="1"/>
    <col min="7399" max="7399" width="7" style="231" bestFit="1" customWidth="1"/>
    <col min="7400" max="7400" width="1.625" style="231" customWidth="1"/>
    <col min="7401" max="7401" width="7.25" style="231" bestFit="1" customWidth="1"/>
    <col min="7402" max="7402" width="2.625" style="231" customWidth="1"/>
    <col min="7403" max="7403" width="13.25" style="231" customWidth="1"/>
    <col min="7404" max="7404" width="6.375" style="231" bestFit="1" customWidth="1"/>
    <col min="7405" max="7405" width="1.75" style="231" customWidth="1"/>
    <col min="7406" max="7406" width="8.5" style="231"/>
    <col min="7407" max="7407" width="42.25" style="231" bestFit="1" customWidth="1"/>
    <col min="7408" max="7408" width="1.25" style="231" customWidth="1"/>
    <col min="7409" max="7409" width="11.625" style="231" customWidth="1"/>
    <col min="7410" max="7410" width="1.25" style="231" customWidth="1"/>
    <col min="7411" max="7411" width="9.625" style="231" customWidth="1"/>
    <col min="7412" max="7412" width="8.125" style="231" customWidth="1"/>
    <col min="7413" max="7413" width="1.25" style="231" customWidth="1"/>
    <col min="7414" max="7414" width="8.125" style="231" customWidth="1"/>
    <col min="7415" max="7415" width="1.625" style="231" customWidth="1"/>
    <col min="7416" max="7416" width="8" style="231" bestFit="1" customWidth="1"/>
    <col min="7417" max="7417" width="9.75" style="231" bestFit="1" customWidth="1"/>
    <col min="7418" max="7632" width="7" style="231" customWidth="1"/>
    <col min="7633" max="7633" width="20.75" style="231" customWidth="1"/>
    <col min="7634" max="7634" width="1.875" style="231" customWidth="1"/>
    <col min="7635" max="7635" width="14.25" style="231" customWidth="1"/>
    <col min="7636" max="7636" width="4.25" style="231" customWidth="1"/>
    <col min="7637" max="7637" width="8.875" style="231" bestFit="1" customWidth="1"/>
    <col min="7638" max="7638" width="6.375" style="231" bestFit="1" customWidth="1"/>
    <col min="7639" max="7639" width="2.125" style="231" customWidth="1"/>
    <col min="7640" max="7640" width="8.5" style="231" bestFit="1" customWidth="1"/>
    <col min="7641" max="7641" width="6.375" style="231" bestFit="1" customWidth="1"/>
    <col min="7642" max="7642" width="2.375" style="231" customWidth="1"/>
    <col min="7643" max="7643" width="9.5" style="231" bestFit="1" customWidth="1"/>
    <col min="7644" max="7644" width="7" style="231" bestFit="1" customWidth="1"/>
    <col min="7645" max="7645" width="1.75" style="231" customWidth="1"/>
    <col min="7646" max="7646" width="8.875" style="231" bestFit="1" customWidth="1"/>
    <col min="7647" max="7647" width="2" style="231" customWidth="1"/>
    <col min="7648" max="7648" width="8.875" style="231" bestFit="1" customWidth="1"/>
    <col min="7649" max="7649" width="6.375" style="231" bestFit="1" customWidth="1"/>
    <col min="7650" max="7650" width="1.375" style="231" customWidth="1"/>
    <col min="7651" max="7651" width="8.5" style="231" bestFit="1" customWidth="1"/>
    <col min="7652" max="7652" width="6.375" style="231" bestFit="1" customWidth="1"/>
    <col min="7653" max="7653" width="1.75" style="231" customWidth="1"/>
    <col min="7654" max="7654" width="9.5" style="231" bestFit="1" customWidth="1"/>
    <col min="7655" max="7655" width="7" style="231" bestFit="1" customWidth="1"/>
    <col min="7656" max="7656" width="1.625" style="231" customWidth="1"/>
    <col min="7657" max="7657" width="7.25" style="231" bestFit="1" customWidth="1"/>
    <col min="7658" max="7658" width="2.625" style="231" customWidth="1"/>
    <col min="7659" max="7659" width="13.25" style="231" customWidth="1"/>
    <col min="7660" max="7660" width="6.375" style="231" bestFit="1" customWidth="1"/>
    <col min="7661" max="7661" width="1.75" style="231" customWidth="1"/>
    <col min="7662" max="7662" width="8.5" style="231"/>
    <col min="7663" max="7663" width="42.25" style="231" bestFit="1" customWidth="1"/>
    <col min="7664" max="7664" width="1.25" style="231" customWidth="1"/>
    <col min="7665" max="7665" width="11.625" style="231" customWidth="1"/>
    <col min="7666" max="7666" width="1.25" style="231" customWidth="1"/>
    <col min="7667" max="7667" width="9.625" style="231" customWidth="1"/>
    <col min="7668" max="7668" width="8.125" style="231" customWidth="1"/>
    <col min="7669" max="7669" width="1.25" style="231" customWidth="1"/>
    <col min="7670" max="7670" width="8.125" style="231" customWidth="1"/>
    <col min="7671" max="7671" width="1.625" style="231" customWidth="1"/>
    <col min="7672" max="7672" width="8" style="231" bestFit="1" customWidth="1"/>
    <col min="7673" max="7673" width="9.75" style="231" bestFit="1" customWidth="1"/>
    <col min="7674" max="7888" width="7" style="231" customWidth="1"/>
    <col min="7889" max="7889" width="20.75" style="231" customWidth="1"/>
    <col min="7890" max="7890" width="1.875" style="231" customWidth="1"/>
    <col min="7891" max="7891" width="14.25" style="231" customWidth="1"/>
    <col min="7892" max="7892" width="4.25" style="231" customWidth="1"/>
    <col min="7893" max="7893" width="8.875" style="231" bestFit="1" customWidth="1"/>
    <col min="7894" max="7894" width="6.375" style="231" bestFit="1" customWidth="1"/>
    <col min="7895" max="7895" width="2.125" style="231" customWidth="1"/>
    <col min="7896" max="7896" width="8.5" style="231" bestFit="1" customWidth="1"/>
    <col min="7897" max="7897" width="6.375" style="231" bestFit="1" customWidth="1"/>
    <col min="7898" max="7898" width="2.375" style="231" customWidth="1"/>
    <col min="7899" max="7899" width="9.5" style="231" bestFit="1" customWidth="1"/>
    <col min="7900" max="7900" width="7" style="231" bestFit="1" customWidth="1"/>
    <col min="7901" max="7901" width="1.75" style="231" customWidth="1"/>
    <col min="7902" max="7902" width="8.875" style="231" bestFit="1" customWidth="1"/>
    <col min="7903" max="7903" width="2" style="231" customWidth="1"/>
    <col min="7904" max="7904" width="8.875" style="231" bestFit="1" customWidth="1"/>
    <col min="7905" max="7905" width="6.375" style="231" bestFit="1" customWidth="1"/>
    <col min="7906" max="7906" width="1.375" style="231" customWidth="1"/>
    <col min="7907" max="7907" width="8.5" style="231" bestFit="1" customWidth="1"/>
    <col min="7908" max="7908" width="6.375" style="231" bestFit="1" customWidth="1"/>
    <col min="7909" max="7909" width="1.75" style="231" customWidth="1"/>
    <col min="7910" max="7910" width="9.5" style="231" bestFit="1" customWidth="1"/>
    <col min="7911" max="7911" width="7" style="231" bestFit="1" customWidth="1"/>
    <col min="7912" max="7912" width="1.625" style="231" customWidth="1"/>
    <col min="7913" max="7913" width="7.25" style="231" bestFit="1" customWidth="1"/>
    <col min="7914" max="7914" width="2.625" style="231" customWidth="1"/>
    <col min="7915" max="7915" width="13.25" style="231" customWidth="1"/>
    <col min="7916" max="7916" width="6.375" style="231" bestFit="1" customWidth="1"/>
    <col min="7917" max="7917" width="1.75" style="231" customWidth="1"/>
    <col min="7918" max="7918" width="8.5" style="231"/>
    <col min="7919" max="7919" width="42.25" style="231" bestFit="1" customWidth="1"/>
    <col min="7920" max="7920" width="1.25" style="231" customWidth="1"/>
    <col min="7921" max="7921" width="11.625" style="231" customWidth="1"/>
    <col min="7922" max="7922" width="1.25" style="231" customWidth="1"/>
    <col min="7923" max="7923" width="9.625" style="231" customWidth="1"/>
    <col min="7924" max="7924" width="8.125" style="231" customWidth="1"/>
    <col min="7925" max="7925" width="1.25" style="231" customWidth="1"/>
    <col min="7926" max="7926" width="8.125" style="231" customWidth="1"/>
    <col min="7927" max="7927" width="1.625" style="231" customWidth="1"/>
    <col min="7928" max="7928" width="8" style="231" bestFit="1" customWidth="1"/>
    <col min="7929" max="7929" width="9.75" style="231" bestFit="1" customWidth="1"/>
    <col min="7930" max="8144" width="7" style="231" customWidth="1"/>
    <col min="8145" max="8145" width="20.75" style="231" customWidth="1"/>
    <col min="8146" max="8146" width="1.875" style="231" customWidth="1"/>
    <col min="8147" max="8147" width="14.25" style="231" customWidth="1"/>
    <col min="8148" max="8148" width="4.25" style="231" customWidth="1"/>
    <col min="8149" max="8149" width="8.875" style="231" bestFit="1" customWidth="1"/>
    <col min="8150" max="8150" width="6.375" style="231" bestFit="1" customWidth="1"/>
    <col min="8151" max="8151" width="2.125" style="231" customWidth="1"/>
    <col min="8152" max="8152" width="8.5" style="231" bestFit="1" customWidth="1"/>
    <col min="8153" max="8153" width="6.375" style="231" bestFit="1" customWidth="1"/>
    <col min="8154" max="8154" width="2.375" style="231" customWidth="1"/>
    <col min="8155" max="8155" width="9.5" style="231" bestFit="1" customWidth="1"/>
    <col min="8156" max="8156" width="7" style="231" bestFit="1" customWidth="1"/>
    <col min="8157" max="8157" width="1.75" style="231" customWidth="1"/>
    <col min="8158" max="8158" width="8.875" style="231" bestFit="1" customWidth="1"/>
    <col min="8159" max="8159" width="2" style="231" customWidth="1"/>
    <col min="8160" max="8160" width="8.875" style="231" bestFit="1" customWidth="1"/>
    <col min="8161" max="8161" width="6.375" style="231" bestFit="1" customWidth="1"/>
    <col min="8162" max="8162" width="1.375" style="231" customWidth="1"/>
    <col min="8163" max="8163" width="8.5" style="231" bestFit="1" customWidth="1"/>
    <col min="8164" max="8164" width="6.375" style="231" bestFit="1" customWidth="1"/>
    <col min="8165" max="8165" width="1.75" style="231" customWidth="1"/>
    <col min="8166" max="8166" width="9.5" style="231" bestFit="1" customWidth="1"/>
    <col min="8167" max="8167" width="7" style="231" bestFit="1" customWidth="1"/>
    <col min="8168" max="8168" width="1.625" style="231" customWidth="1"/>
    <col min="8169" max="8169" width="7.25" style="231" bestFit="1" customWidth="1"/>
    <col min="8170" max="8170" width="2.625" style="231" customWidth="1"/>
    <col min="8171" max="8171" width="13.25" style="231" customWidth="1"/>
    <col min="8172" max="8172" width="6.375" style="231" bestFit="1" customWidth="1"/>
    <col min="8173" max="8173" width="1.75" style="231" customWidth="1"/>
    <col min="8174" max="8174" width="8.5" style="231"/>
    <col min="8175" max="8175" width="42.25" style="231" bestFit="1" customWidth="1"/>
    <col min="8176" max="8176" width="1.25" style="231" customWidth="1"/>
    <col min="8177" max="8177" width="11.625" style="231" customWidth="1"/>
    <col min="8178" max="8178" width="1.25" style="231" customWidth="1"/>
    <col min="8179" max="8179" width="9.625" style="231" customWidth="1"/>
    <col min="8180" max="8180" width="8.125" style="231" customWidth="1"/>
    <col min="8181" max="8181" width="1.25" style="231" customWidth="1"/>
    <col min="8182" max="8182" width="8.125" style="231" customWidth="1"/>
    <col min="8183" max="8183" width="1.625" style="231" customWidth="1"/>
    <col min="8184" max="8184" width="8" style="231" bestFit="1" customWidth="1"/>
    <col min="8185" max="8185" width="9.75" style="231" bestFit="1" customWidth="1"/>
    <col min="8186" max="8400" width="7" style="231" customWidth="1"/>
    <col min="8401" max="8401" width="20.75" style="231" customWidth="1"/>
    <col min="8402" max="8402" width="1.875" style="231" customWidth="1"/>
    <col min="8403" max="8403" width="14.25" style="231" customWidth="1"/>
    <col min="8404" max="8404" width="4.25" style="231" customWidth="1"/>
    <col min="8405" max="8405" width="8.875" style="231" bestFit="1" customWidth="1"/>
    <col min="8406" max="8406" width="6.375" style="231" bestFit="1" customWidth="1"/>
    <col min="8407" max="8407" width="2.125" style="231" customWidth="1"/>
    <col min="8408" max="8408" width="8.5" style="231" bestFit="1" customWidth="1"/>
    <col min="8409" max="8409" width="6.375" style="231" bestFit="1" customWidth="1"/>
    <col min="8410" max="8410" width="2.375" style="231" customWidth="1"/>
    <col min="8411" max="8411" width="9.5" style="231" bestFit="1" customWidth="1"/>
    <col min="8412" max="8412" width="7" style="231" bestFit="1" customWidth="1"/>
    <col min="8413" max="8413" width="1.75" style="231" customWidth="1"/>
    <col min="8414" max="8414" width="8.875" style="231" bestFit="1" customWidth="1"/>
    <col min="8415" max="8415" width="2" style="231" customWidth="1"/>
    <col min="8416" max="8416" width="8.875" style="231" bestFit="1" customWidth="1"/>
    <col min="8417" max="8417" width="6.375" style="231" bestFit="1" customWidth="1"/>
    <col min="8418" max="8418" width="1.375" style="231" customWidth="1"/>
    <col min="8419" max="8419" width="8.5" style="231" bestFit="1" customWidth="1"/>
    <col min="8420" max="8420" width="6.375" style="231" bestFit="1" customWidth="1"/>
    <col min="8421" max="8421" width="1.75" style="231" customWidth="1"/>
    <col min="8422" max="8422" width="9.5" style="231" bestFit="1" customWidth="1"/>
    <col min="8423" max="8423" width="7" style="231" bestFit="1" customWidth="1"/>
    <col min="8424" max="8424" width="1.625" style="231" customWidth="1"/>
    <col min="8425" max="8425" width="7.25" style="231" bestFit="1" customWidth="1"/>
    <col min="8426" max="8426" width="2.625" style="231" customWidth="1"/>
    <col min="8427" max="8427" width="13.25" style="231" customWidth="1"/>
    <col min="8428" max="8428" width="6.375" style="231" bestFit="1" customWidth="1"/>
    <col min="8429" max="8429" width="1.75" style="231" customWidth="1"/>
    <col min="8430" max="8430" width="8.5" style="231"/>
    <col min="8431" max="8431" width="42.25" style="231" bestFit="1" customWidth="1"/>
    <col min="8432" max="8432" width="1.25" style="231" customWidth="1"/>
    <col min="8433" max="8433" width="11.625" style="231" customWidth="1"/>
    <col min="8434" max="8434" width="1.25" style="231" customWidth="1"/>
    <col min="8435" max="8435" width="9.625" style="231" customWidth="1"/>
    <col min="8436" max="8436" width="8.125" style="231" customWidth="1"/>
    <col min="8437" max="8437" width="1.25" style="231" customWidth="1"/>
    <col min="8438" max="8438" width="8.125" style="231" customWidth="1"/>
    <col min="8439" max="8439" width="1.625" style="231" customWidth="1"/>
    <col min="8440" max="8440" width="8" style="231" bestFit="1" customWidth="1"/>
    <col min="8441" max="8441" width="9.75" style="231" bestFit="1" customWidth="1"/>
    <col min="8442" max="8656" width="7" style="231" customWidth="1"/>
    <col min="8657" max="8657" width="20.75" style="231" customWidth="1"/>
    <col min="8658" max="8658" width="1.875" style="231" customWidth="1"/>
    <col min="8659" max="8659" width="14.25" style="231" customWidth="1"/>
    <col min="8660" max="8660" width="4.25" style="231" customWidth="1"/>
    <col min="8661" max="8661" width="8.875" style="231" bestFit="1" customWidth="1"/>
    <col min="8662" max="8662" width="6.375" style="231" bestFit="1" customWidth="1"/>
    <col min="8663" max="8663" width="2.125" style="231" customWidth="1"/>
    <col min="8664" max="8664" width="8.5" style="231" bestFit="1" customWidth="1"/>
    <col min="8665" max="8665" width="6.375" style="231" bestFit="1" customWidth="1"/>
    <col min="8666" max="8666" width="2.375" style="231" customWidth="1"/>
    <col min="8667" max="8667" width="9.5" style="231" bestFit="1" customWidth="1"/>
    <col min="8668" max="8668" width="7" style="231" bestFit="1" customWidth="1"/>
    <col min="8669" max="8669" width="1.75" style="231" customWidth="1"/>
    <col min="8670" max="8670" width="8.875" style="231" bestFit="1" customWidth="1"/>
    <col min="8671" max="8671" width="2" style="231" customWidth="1"/>
    <col min="8672" max="8672" width="8.875" style="231" bestFit="1" customWidth="1"/>
    <col min="8673" max="8673" width="6.375" style="231" bestFit="1" customWidth="1"/>
    <col min="8674" max="8674" width="1.375" style="231" customWidth="1"/>
    <col min="8675" max="8675" width="8.5" style="231" bestFit="1" customWidth="1"/>
    <col min="8676" max="8676" width="6.375" style="231" bestFit="1" customWidth="1"/>
    <col min="8677" max="8677" width="1.75" style="231" customWidth="1"/>
    <col min="8678" max="8678" width="9.5" style="231" bestFit="1" customWidth="1"/>
    <col min="8679" max="8679" width="7" style="231" bestFit="1" customWidth="1"/>
    <col min="8680" max="8680" width="1.625" style="231" customWidth="1"/>
    <col min="8681" max="8681" width="7.25" style="231" bestFit="1" customWidth="1"/>
    <col min="8682" max="8682" width="2.625" style="231" customWidth="1"/>
    <col min="8683" max="8683" width="13.25" style="231" customWidth="1"/>
    <col min="8684" max="8684" width="6.375" style="231" bestFit="1" customWidth="1"/>
    <col min="8685" max="8685" width="1.75" style="231" customWidth="1"/>
    <col min="8686" max="8686" width="8.5" style="231"/>
    <col min="8687" max="8687" width="42.25" style="231" bestFit="1" customWidth="1"/>
    <col min="8688" max="8688" width="1.25" style="231" customWidth="1"/>
    <col min="8689" max="8689" width="11.625" style="231" customWidth="1"/>
    <col min="8690" max="8690" width="1.25" style="231" customWidth="1"/>
    <col min="8691" max="8691" width="9.625" style="231" customWidth="1"/>
    <col min="8692" max="8692" width="8.125" style="231" customWidth="1"/>
    <col min="8693" max="8693" width="1.25" style="231" customWidth="1"/>
    <col min="8694" max="8694" width="8.125" style="231" customWidth="1"/>
    <col min="8695" max="8695" width="1.625" style="231" customWidth="1"/>
    <col min="8696" max="8696" width="8" style="231" bestFit="1" customWidth="1"/>
    <col min="8697" max="8697" width="9.75" style="231" bestFit="1" customWidth="1"/>
    <col min="8698" max="8912" width="7" style="231" customWidth="1"/>
    <col min="8913" max="8913" width="20.75" style="231" customWidth="1"/>
    <col min="8914" max="8914" width="1.875" style="231" customWidth="1"/>
    <col min="8915" max="8915" width="14.25" style="231" customWidth="1"/>
    <col min="8916" max="8916" width="4.25" style="231" customWidth="1"/>
    <col min="8917" max="8917" width="8.875" style="231" bestFit="1" customWidth="1"/>
    <col min="8918" max="8918" width="6.375" style="231" bestFit="1" customWidth="1"/>
    <col min="8919" max="8919" width="2.125" style="231" customWidth="1"/>
    <col min="8920" max="8920" width="8.5" style="231" bestFit="1" customWidth="1"/>
    <col min="8921" max="8921" width="6.375" style="231" bestFit="1" customWidth="1"/>
    <col min="8922" max="8922" width="2.375" style="231" customWidth="1"/>
    <col min="8923" max="8923" width="9.5" style="231" bestFit="1" customWidth="1"/>
    <col min="8924" max="8924" width="7" style="231" bestFit="1" customWidth="1"/>
    <col min="8925" max="8925" width="1.75" style="231" customWidth="1"/>
    <col min="8926" max="8926" width="8.875" style="231" bestFit="1" customWidth="1"/>
    <col min="8927" max="8927" width="2" style="231" customWidth="1"/>
    <col min="8928" max="8928" width="8.875" style="231" bestFit="1" customWidth="1"/>
    <col min="8929" max="8929" width="6.375" style="231" bestFit="1" customWidth="1"/>
    <col min="8930" max="8930" width="1.375" style="231" customWidth="1"/>
    <col min="8931" max="8931" width="8.5" style="231" bestFit="1" customWidth="1"/>
    <col min="8932" max="8932" width="6.375" style="231" bestFit="1" customWidth="1"/>
    <col min="8933" max="8933" width="1.75" style="231" customWidth="1"/>
    <col min="8934" max="8934" width="9.5" style="231" bestFit="1" customWidth="1"/>
    <col min="8935" max="8935" width="7" style="231" bestFit="1" customWidth="1"/>
    <col min="8936" max="8936" width="1.625" style="231" customWidth="1"/>
    <col min="8937" max="8937" width="7.25" style="231" bestFit="1" customWidth="1"/>
    <col min="8938" max="8938" width="2.625" style="231" customWidth="1"/>
    <col min="8939" max="8939" width="13.25" style="231" customWidth="1"/>
    <col min="8940" max="8940" width="6.375" style="231" bestFit="1" customWidth="1"/>
    <col min="8941" max="8941" width="1.75" style="231" customWidth="1"/>
    <col min="8942" max="8942" width="8.5" style="231"/>
    <col min="8943" max="8943" width="42.25" style="231" bestFit="1" customWidth="1"/>
    <col min="8944" max="8944" width="1.25" style="231" customWidth="1"/>
    <col min="8945" max="8945" width="11.625" style="231" customWidth="1"/>
    <col min="8946" max="8946" width="1.25" style="231" customWidth="1"/>
    <col min="8947" max="8947" width="9.625" style="231" customWidth="1"/>
    <col min="8948" max="8948" width="8.125" style="231" customWidth="1"/>
    <col min="8949" max="8949" width="1.25" style="231" customWidth="1"/>
    <col min="8950" max="8950" width="8.125" style="231" customWidth="1"/>
    <col min="8951" max="8951" width="1.625" style="231" customWidth="1"/>
    <col min="8952" max="8952" width="8" style="231" bestFit="1" customWidth="1"/>
    <col min="8953" max="8953" width="9.75" style="231" bestFit="1" customWidth="1"/>
    <col min="8954" max="9168" width="7" style="231" customWidth="1"/>
    <col min="9169" max="9169" width="20.75" style="231" customWidth="1"/>
    <col min="9170" max="9170" width="1.875" style="231" customWidth="1"/>
    <col min="9171" max="9171" width="14.25" style="231" customWidth="1"/>
    <col min="9172" max="9172" width="4.25" style="231" customWidth="1"/>
    <col min="9173" max="9173" width="8.875" style="231" bestFit="1" customWidth="1"/>
    <col min="9174" max="9174" width="6.375" style="231" bestFit="1" customWidth="1"/>
    <col min="9175" max="9175" width="2.125" style="231" customWidth="1"/>
    <col min="9176" max="9176" width="8.5" style="231" bestFit="1" customWidth="1"/>
    <col min="9177" max="9177" width="6.375" style="231" bestFit="1" customWidth="1"/>
    <col min="9178" max="9178" width="2.375" style="231" customWidth="1"/>
    <col min="9179" max="9179" width="9.5" style="231" bestFit="1" customWidth="1"/>
    <col min="9180" max="9180" width="7" style="231" bestFit="1" customWidth="1"/>
    <col min="9181" max="9181" width="1.75" style="231" customWidth="1"/>
    <col min="9182" max="9182" width="8.875" style="231" bestFit="1" customWidth="1"/>
    <col min="9183" max="9183" width="2" style="231" customWidth="1"/>
    <col min="9184" max="9184" width="8.875" style="231" bestFit="1" customWidth="1"/>
    <col min="9185" max="9185" width="6.375" style="231" bestFit="1" customWidth="1"/>
    <col min="9186" max="9186" width="1.375" style="231" customWidth="1"/>
    <col min="9187" max="9187" width="8.5" style="231" bestFit="1" customWidth="1"/>
    <col min="9188" max="9188" width="6.375" style="231" bestFit="1" customWidth="1"/>
    <col min="9189" max="9189" width="1.75" style="231" customWidth="1"/>
    <col min="9190" max="9190" width="9.5" style="231" bestFit="1" customWidth="1"/>
    <col min="9191" max="9191" width="7" style="231" bestFit="1" customWidth="1"/>
    <col min="9192" max="9192" width="1.625" style="231" customWidth="1"/>
    <col min="9193" max="9193" width="7.25" style="231" bestFit="1" customWidth="1"/>
    <col min="9194" max="9194" width="2.625" style="231" customWidth="1"/>
    <col min="9195" max="9195" width="13.25" style="231" customWidth="1"/>
    <col min="9196" max="9196" width="6.375" style="231" bestFit="1" customWidth="1"/>
    <col min="9197" max="9197" width="1.75" style="231" customWidth="1"/>
    <col min="9198" max="9198" width="8.5" style="231"/>
    <col min="9199" max="9199" width="42.25" style="231" bestFit="1" customWidth="1"/>
    <col min="9200" max="9200" width="1.25" style="231" customWidth="1"/>
    <col min="9201" max="9201" width="11.625" style="231" customWidth="1"/>
    <col min="9202" max="9202" width="1.25" style="231" customWidth="1"/>
    <col min="9203" max="9203" width="9.625" style="231" customWidth="1"/>
    <col min="9204" max="9204" width="8.125" style="231" customWidth="1"/>
    <col min="9205" max="9205" width="1.25" style="231" customWidth="1"/>
    <col min="9206" max="9206" width="8.125" style="231" customWidth="1"/>
    <col min="9207" max="9207" width="1.625" style="231" customWidth="1"/>
    <col min="9208" max="9208" width="8" style="231" bestFit="1" customWidth="1"/>
    <col min="9209" max="9209" width="9.75" style="231" bestFit="1" customWidth="1"/>
    <col min="9210" max="9424" width="7" style="231" customWidth="1"/>
    <col min="9425" max="9425" width="20.75" style="231" customWidth="1"/>
    <col min="9426" max="9426" width="1.875" style="231" customWidth="1"/>
    <col min="9427" max="9427" width="14.25" style="231" customWidth="1"/>
    <col min="9428" max="9428" width="4.25" style="231" customWidth="1"/>
    <col min="9429" max="9429" width="8.875" style="231" bestFit="1" customWidth="1"/>
    <col min="9430" max="9430" width="6.375" style="231" bestFit="1" customWidth="1"/>
    <col min="9431" max="9431" width="2.125" style="231" customWidth="1"/>
    <col min="9432" max="9432" width="8.5" style="231" bestFit="1" customWidth="1"/>
    <col min="9433" max="9433" width="6.375" style="231" bestFit="1" customWidth="1"/>
    <col min="9434" max="9434" width="2.375" style="231" customWidth="1"/>
    <col min="9435" max="9435" width="9.5" style="231" bestFit="1" customWidth="1"/>
    <col min="9436" max="9436" width="7" style="231" bestFit="1" customWidth="1"/>
    <col min="9437" max="9437" width="1.75" style="231" customWidth="1"/>
    <col min="9438" max="9438" width="8.875" style="231" bestFit="1" customWidth="1"/>
    <col min="9439" max="9439" width="2" style="231" customWidth="1"/>
    <col min="9440" max="9440" width="8.875" style="231" bestFit="1" customWidth="1"/>
    <col min="9441" max="9441" width="6.375" style="231" bestFit="1" customWidth="1"/>
    <col min="9442" max="9442" width="1.375" style="231" customWidth="1"/>
    <col min="9443" max="9443" width="8.5" style="231" bestFit="1" customWidth="1"/>
    <col min="9444" max="9444" width="6.375" style="231" bestFit="1" customWidth="1"/>
    <col min="9445" max="9445" width="1.75" style="231" customWidth="1"/>
    <col min="9446" max="9446" width="9.5" style="231" bestFit="1" customWidth="1"/>
    <col min="9447" max="9447" width="7" style="231" bestFit="1" customWidth="1"/>
    <col min="9448" max="9448" width="1.625" style="231" customWidth="1"/>
    <col min="9449" max="9449" width="7.25" style="231" bestFit="1" customWidth="1"/>
    <col min="9450" max="9450" width="2.625" style="231" customWidth="1"/>
    <col min="9451" max="9451" width="13.25" style="231" customWidth="1"/>
    <col min="9452" max="9452" width="6.375" style="231" bestFit="1" customWidth="1"/>
    <col min="9453" max="9453" width="1.75" style="231" customWidth="1"/>
    <col min="9454" max="9454" width="8.5" style="231"/>
    <col min="9455" max="9455" width="42.25" style="231" bestFit="1" customWidth="1"/>
    <col min="9456" max="9456" width="1.25" style="231" customWidth="1"/>
    <col min="9457" max="9457" width="11.625" style="231" customWidth="1"/>
    <col min="9458" max="9458" width="1.25" style="231" customWidth="1"/>
    <col min="9459" max="9459" width="9.625" style="231" customWidth="1"/>
    <col min="9460" max="9460" width="8.125" style="231" customWidth="1"/>
    <col min="9461" max="9461" width="1.25" style="231" customWidth="1"/>
    <col min="9462" max="9462" width="8.125" style="231" customWidth="1"/>
    <col min="9463" max="9463" width="1.625" style="231" customWidth="1"/>
    <col min="9464" max="9464" width="8" style="231" bestFit="1" customWidth="1"/>
    <col min="9465" max="9465" width="9.75" style="231" bestFit="1" customWidth="1"/>
    <col min="9466" max="9680" width="7" style="231" customWidth="1"/>
    <col min="9681" max="9681" width="20.75" style="231" customWidth="1"/>
    <col min="9682" max="9682" width="1.875" style="231" customWidth="1"/>
    <col min="9683" max="9683" width="14.25" style="231" customWidth="1"/>
    <col min="9684" max="9684" width="4.25" style="231" customWidth="1"/>
    <col min="9685" max="9685" width="8.875" style="231" bestFit="1" customWidth="1"/>
    <col min="9686" max="9686" width="6.375" style="231" bestFit="1" customWidth="1"/>
    <col min="9687" max="9687" width="2.125" style="231" customWidth="1"/>
    <col min="9688" max="9688" width="8.5" style="231" bestFit="1" customWidth="1"/>
    <col min="9689" max="9689" width="6.375" style="231" bestFit="1" customWidth="1"/>
    <col min="9690" max="9690" width="2.375" style="231" customWidth="1"/>
    <col min="9691" max="9691" width="9.5" style="231" bestFit="1" customWidth="1"/>
    <col min="9692" max="9692" width="7" style="231" bestFit="1" customWidth="1"/>
    <col min="9693" max="9693" width="1.75" style="231" customWidth="1"/>
    <col min="9694" max="9694" width="8.875" style="231" bestFit="1" customWidth="1"/>
    <col min="9695" max="9695" width="2" style="231" customWidth="1"/>
    <col min="9696" max="9696" width="8.875" style="231" bestFit="1" customWidth="1"/>
    <col min="9697" max="9697" width="6.375" style="231" bestFit="1" customWidth="1"/>
    <col min="9698" max="9698" width="1.375" style="231" customWidth="1"/>
    <col min="9699" max="9699" width="8.5" style="231" bestFit="1" customWidth="1"/>
    <col min="9700" max="9700" width="6.375" style="231" bestFit="1" customWidth="1"/>
    <col min="9701" max="9701" width="1.75" style="231" customWidth="1"/>
    <col min="9702" max="9702" width="9.5" style="231" bestFit="1" customWidth="1"/>
    <col min="9703" max="9703" width="7" style="231" bestFit="1" customWidth="1"/>
    <col min="9704" max="9704" width="1.625" style="231" customWidth="1"/>
    <col min="9705" max="9705" width="7.25" style="231" bestFit="1" customWidth="1"/>
    <col min="9706" max="9706" width="2.625" style="231" customWidth="1"/>
    <col min="9707" max="9707" width="13.25" style="231" customWidth="1"/>
    <col min="9708" max="9708" width="6.375" style="231" bestFit="1" customWidth="1"/>
    <col min="9709" max="9709" width="1.75" style="231" customWidth="1"/>
    <col min="9710" max="9710" width="8.5" style="231"/>
    <col min="9711" max="9711" width="42.25" style="231" bestFit="1" customWidth="1"/>
    <col min="9712" max="9712" width="1.25" style="231" customWidth="1"/>
    <col min="9713" max="9713" width="11.625" style="231" customWidth="1"/>
    <col min="9714" max="9714" width="1.25" style="231" customWidth="1"/>
    <col min="9715" max="9715" width="9.625" style="231" customWidth="1"/>
    <col min="9716" max="9716" width="8.125" style="231" customWidth="1"/>
    <col min="9717" max="9717" width="1.25" style="231" customWidth="1"/>
    <col min="9718" max="9718" width="8.125" style="231" customWidth="1"/>
    <col min="9719" max="9719" width="1.625" style="231" customWidth="1"/>
    <col min="9720" max="9720" width="8" style="231" bestFit="1" customWidth="1"/>
    <col min="9721" max="9721" width="9.75" style="231" bestFit="1" customWidth="1"/>
    <col min="9722" max="9936" width="7" style="231" customWidth="1"/>
    <col min="9937" max="9937" width="20.75" style="231" customWidth="1"/>
    <col min="9938" max="9938" width="1.875" style="231" customWidth="1"/>
    <col min="9939" max="9939" width="14.25" style="231" customWidth="1"/>
    <col min="9940" max="9940" width="4.25" style="231" customWidth="1"/>
    <col min="9941" max="9941" width="8.875" style="231" bestFit="1" customWidth="1"/>
    <col min="9942" max="9942" width="6.375" style="231" bestFit="1" customWidth="1"/>
    <col min="9943" max="9943" width="2.125" style="231" customWidth="1"/>
    <col min="9944" max="9944" width="8.5" style="231" bestFit="1" customWidth="1"/>
    <col min="9945" max="9945" width="6.375" style="231" bestFit="1" customWidth="1"/>
    <col min="9946" max="9946" width="2.375" style="231" customWidth="1"/>
    <col min="9947" max="9947" width="9.5" style="231" bestFit="1" customWidth="1"/>
    <col min="9948" max="9948" width="7" style="231" bestFit="1" customWidth="1"/>
    <col min="9949" max="9949" width="1.75" style="231" customWidth="1"/>
    <col min="9950" max="9950" width="8.875" style="231" bestFit="1" customWidth="1"/>
    <col min="9951" max="9951" width="2" style="231" customWidth="1"/>
    <col min="9952" max="9952" width="8.875" style="231" bestFit="1" customWidth="1"/>
    <col min="9953" max="9953" width="6.375" style="231" bestFit="1" customWidth="1"/>
    <col min="9954" max="9954" width="1.375" style="231" customWidth="1"/>
    <col min="9955" max="9955" width="8.5" style="231" bestFit="1" customWidth="1"/>
    <col min="9956" max="9956" width="6.375" style="231" bestFit="1" customWidth="1"/>
    <col min="9957" max="9957" width="1.75" style="231" customWidth="1"/>
    <col min="9958" max="9958" width="9.5" style="231" bestFit="1" customWidth="1"/>
    <col min="9959" max="9959" width="7" style="231" bestFit="1" customWidth="1"/>
    <col min="9960" max="9960" width="1.625" style="231" customWidth="1"/>
    <col min="9961" max="9961" width="7.25" style="231" bestFit="1" customWidth="1"/>
    <col min="9962" max="9962" width="2.625" style="231" customWidth="1"/>
    <col min="9963" max="9963" width="13.25" style="231" customWidth="1"/>
    <col min="9964" max="9964" width="6.375" style="231" bestFit="1" customWidth="1"/>
    <col min="9965" max="9965" width="1.75" style="231" customWidth="1"/>
    <col min="9966" max="9966" width="8.5" style="231"/>
    <col min="9967" max="9967" width="42.25" style="231" bestFit="1" customWidth="1"/>
    <col min="9968" max="9968" width="1.25" style="231" customWidth="1"/>
    <col min="9969" max="9969" width="11.625" style="231" customWidth="1"/>
    <col min="9970" max="9970" width="1.25" style="231" customWidth="1"/>
    <col min="9971" max="9971" width="9.625" style="231" customWidth="1"/>
    <col min="9972" max="9972" width="8.125" style="231" customWidth="1"/>
    <col min="9973" max="9973" width="1.25" style="231" customWidth="1"/>
    <col min="9974" max="9974" width="8.125" style="231" customWidth="1"/>
    <col min="9975" max="9975" width="1.625" style="231" customWidth="1"/>
    <col min="9976" max="9976" width="8" style="231" bestFit="1" customWidth="1"/>
    <col min="9977" max="9977" width="9.75" style="231" bestFit="1" customWidth="1"/>
    <col min="9978" max="10192" width="7" style="231" customWidth="1"/>
    <col min="10193" max="10193" width="20.75" style="231" customWidth="1"/>
    <col min="10194" max="10194" width="1.875" style="231" customWidth="1"/>
    <col min="10195" max="10195" width="14.25" style="231" customWidth="1"/>
    <col min="10196" max="10196" width="4.25" style="231" customWidth="1"/>
    <col min="10197" max="10197" width="8.875" style="231" bestFit="1" customWidth="1"/>
    <col min="10198" max="10198" width="6.375" style="231" bestFit="1" customWidth="1"/>
    <col min="10199" max="10199" width="2.125" style="231" customWidth="1"/>
    <col min="10200" max="10200" width="8.5" style="231" bestFit="1" customWidth="1"/>
    <col min="10201" max="10201" width="6.375" style="231" bestFit="1" customWidth="1"/>
    <col min="10202" max="10202" width="2.375" style="231" customWidth="1"/>
    <col min="10203" max="10203" width="9.5" style="231" bestFit="1" customWidth="1"/>
    <col min="10204" max="10204" width="7" style="231" bestFit="1" customWidth="1"/>
    <col min="10205" max="10205" width="1.75" style="231" customWidth="1"/>
    <col min="10206" max="10206" width="8.875" style="231" bestFit="1" customWidth="1"/>
    <col min="10207" max="10207" width="2" style="231" customWidth="1"/>
    <col min="10208" max="10208" width="8.875" style="231" bestFit="1" customWidth="1"/>
    <col min="10209" max="10209" width="6.375" style="231" bestFit="1" customWidth="1"/>
    <col min="10210" max="10210" width="1.375" style="231" customWidth="1"/>
    <col min="10211" max="10211" width="8.5" style="231" bestFit="1" customWidth="1"/>
    <col min="10212" max="10212" width="6.375" style="231" bestFit="1" customWidth="1"/>
    <col min="10213" max="10213" width="1.75" style="231" customWidth="1"/>
    <col min="10214" max="10214" width="9.5" style="231" bestFit="1" customWidth="1"/>
    <col min="10215" max="10215" width="7" style="231" bestFit="1" customWidth="1"/>
    <col min="10216" max="10216" width="1.625" style="231" customWidth="1"/>
    <col min="10217" max="10217" width="7.25" style="231" bestFit="1" customWidth="1"/>
    <col min="10218" max="10218" width="2.625" style="231" customWidth="1"/>
    <col min="10219" max="10219" width="13.25" style="231" customWidth="1"/>
    <col min="10220" max="10220" width="6.375" style="231" bestFit="1" customWidth="1"/>
    <col min="10221" max="10221" width="1.75" style="231" customWidth="1"/>
    <col min="10222" max="10222" width="8.5" style="231"/>
    <col min="10223" max="10223" width="42.25" style="231" bestFit="1" customWidth="1"/>
    <col min="10224" max="10224" width="1.25" style="231" customWidth="1"/>
    <col min="10225" max="10225" width="11.625" style="231" customWidth="1"/>
    <col min="10226" max="10226" width="1.25" style="231" customWidth="1"/>
    <col min="10227" max="10227" width="9.625" style="231" customWidth="1"/>
    <col min="10228" max="10228" width="8.125" style="231" customWidth="1"/>
    <col min="10229" max="10229" width="1.25" style="231" customWidth="1"/>
    <col min="10230" max="10230" width="8.125" style="231" customWidth="1"/>
    <col min="10231" max="10231" width="1.625" style="231" customWidth="1"/>
    <col min="10232" max="10232" width="8" style="231" bestFit="1" customWidth="1"/>
    <col min="10233" max="10233" width="9.75" style="231" bestFit="1" customWidth="1"/>
    <col min="10234" max="10448" width="7" style="231" customWidth="1"/>
    <col min="10449" max="10449" width="20.75" style="231" customWidth="1"/>
    <col min="10450" max="10450" width="1.875" style="231" customWidth="1"/>
    <col min="10451" max="10451" width="14.25" style="231" customWidth="1"/>
    <col min="10452" max="10452" width="4.25" style="231" customWidth="1"/>
    <col min="10453" max="10453" width="8.875" style="231" bestFit="1" customWidth="1"/>
    <col min="10454" max="10454" width="6.375" style="231" bestFit="1" customWidth="1"/>
    <col min="10455" max="10455" width="2.125" style="231" customWidth="1"/>
    <col min="10456" max="10456" width="8.5" style="231" bestFit="1" customWidth="1"/>
    <col min="10457" max="10457" width="6.375" style="231" bestFit="1" customWidth="1"/>
    <col min="10458" max="10458" width="2.375" style="231" customWidth="1"/>
    <col min="10459" max="10459" width="9.5" style="231" bestFit="1" customWidth="1"/>
    <col min="10460" max="10460" width="7" style="231" bestFit="1" customWidth="1"/>
    <col min="10461" max="10461" width="1.75" style="231" customWidth="1"/>
    <col min="10462" max="10462" width="8.875" style="231" bestFit="1" customWidth="1"/>
    <col min="10463" max="10463" width="2" style="231" customWidth="1"/>
    <col min="10464" max="10464" width="8.875" style="231" bestFit="1" customWidth="1"/>
    <col min="10465" max="10465" width="6.375" style="231" bestFit="1" customWidth="1"/>
    <col min="10466" max="10466" width="1.375" style="231" customWidth="1"/>
    <col min="10467" max="10467" width="8.5" style="231" bestFit="1" customWidth="1"/>
    <col min="10468" max="10468" width="6.375" style="231" bestFit="1" customWidth="1"/>
    <col min="10469" max="10469" width="1.75" style="231" customWidth="1"/>
    <col min="10470" max="10470" width="9.5" style="231" bestFit="1" customWidth="1"/>
    <col min="10471" max="10471" width="7" style="231" bestFit="1" customWidth="1"/>
    <col min="10472" max="10472" width="1.625" style="231" customWidth="1"/>
    <col min="10473" max="10473" width="7.25" style="231" bestFit="1" customWidth="1"/>
    <col min="10474" max="10474" width="2.625" style="231" customWidth="1"/>
    <col min="10475" max="10475" width="13.25" style="231" customWidth="1"/>
    <col min="10476" max="10476" width="6.375" style="231" bestFit="1" customWidth="1"/>
    <col min="10477" max="10477" width="1.75" style="231" customWidth="1"/>
    <col min="10478" max="10478" width="8.5" style="231"/>
    <col min="10479" max="10479" width="42.25" style="231" bestFit="1" customWidth="1"/>
    <col min="10480" max="10480" width="1.25" style="231" customWidth="1"/>
    <col min="10481" max="10481" width="11.625" style="231" customWidth="1"/>
    <col min="10482" max="10482" width="1.25" style="231" customWidth="1"/>
    <col min="10483" max="10483" width="9.625" style="231" customWidth="1"/>
    <col min="10484" max="10484" width="8.125" style="231" customWidth="1"/>
    <col min="10485" max="10485" width="1.25" style="231" customWidth="1"/>
    <col min="10486" max="10486" width="8.125" style="231" customWidth="1"/>
    <col min="10487" max="10487" width="1.625" style="231" customWidth="1"/>
    <col min="10488" max="10488" width="8" style="231" bestFit="1" customWidth="1"/>
    <col min="10489" max="10489" width="9.75" style="231" bestFit="1" customWidth="1"/>
    <col min="10490" max="10704" width="7" style="231" customWidth="1"/>
    <col min="10705" max="10705" width="20.75" style="231" customWidth="1"/>
    <col min="10706" max="10706" width="1.875" style="231" customWidth="1"/>
    <col min="10707" max="10707" width="14.25" style="231" customWidth="1"/>
    <col min="10708" max="10708" width="4.25" style="231" customWidth="1"/>
    <col min="10709" max="10709" width="8.875" style="231" bestFit="1" customWidth="1"/>
    <col min="10710" max="10710" width="6.375" style="231" bestFit="1" customWidth="1"/>
    <col min="10711" max="10711" width="2.125" style="231" customWidth="1"/>
    <col min="10712" max="10712" width="8.5" style="231" bestFit="1" customWidth="1"/>
    <col min="10713" max="10713" width="6.375" style="231" bestFit="1" customWidth="1"/>
    <col min="10714" max="10714" width="2.375" style="231" customWidth="1"/>
    <col min="10715" max="10715" width="9.5" style="231" bestFit="1" customWidth="1"/>
    <col min="10716" max="10716" width="7" style="231" bestFit="1" customWidth="1"/>
    <col min="10717" max="10717" width="1.75" style="231" customWidth="1"/>
    <col min="10718" max="10718" width="8.875" style="231" bestFit="1" customWidth="1"/>
    <col min="10719" max="10719" width="2" style="231" customWidth="1"/>
    <col min="10720" max="10720" width="8.875" style="231" bestFit="1" customWidth="1"/>
    <col min="10721" max="10721" width="6.375" style="231" bestFit="1" customWidth="1"/>
    <col min="10722" max="10722" width="1.375" style="231" customWidth="1"/>
    <col min="10723" max="10723" width="8.5" style="231" bestFit="1" customWidth="1"/>
    <col min="10724" max="10724" width="6.375" style="231" bestFit="1" customWidth="1"/>
    <col min="10725" max="10725" width="1.75" style="231" customWidth="1"/>
    <col min="10726" max="10726" width="9.5" style="231" bestFit="1" customWidth="1"/>
    <col min="10727" max="10727" width="7" style="231" bestFit="1" customWidth="1"/>
    <col min="10728" max="10728" width="1.625" style="231" customWidth="1"/>
    <col min="10729" max="10729" width="7.25" style="231" bestFit="1" customWidth="1"/>
    <col min="10730" max="10730" width="2.625" style="231" customWidth="1"/>
    <col min="10731" max="10731" width="13.25" style="231" customWidth="1"/>
    <col min="10732" max="10732" width="6.375" style="231" bestFit="1" customWidth="1"/>
    <col min="10733" max="10733" width="1.75" style="231" customWidth="1"/>
    <col min="10734" max="10734" width="8.5" style="231"/>
    <col min="10735" max="10735" width="42.25" style="231" bestFit="1" customWidth="1"/>
    <col min="10736" max="10736" width="1.25" style="231" customWidth="1"/>
    <col min="10737" max="10737" width="11.625" style="231" customWidth="1"/>
    <col min="10738" max="10738" width="1.25" style="231" customWidth="1"/>
    <col min="10739" max="10739" width="9.625" style="231" customWidth="1"/>
    <col min="10740" max="10740" width="8.125" style="231" customWidth="1"/>
    <col min="10741" max="10741" width="1.25" style="231" customWidth="1"/>
    <col min="10742" max="10742" width="8.125" style="231" customWidth="1"/>
    <col min="10743" max="10743" width="1.625" style="231" customWidth="1"/>
    <col min="10744" max="10744" width="8" style="231" bestFit="1" customWidth="1"/>
    <col min="10745" max="10745" width="9.75" style="231" bestFit="1" customWidth="1"/>
    <col min="10746" max="10960" width="7" style="231" customWidth="1"/>
    <col min="10961" max="10961" width="20.75" style="231" customWidth="1"/>
    <col min="10962" max="10962" width="1.875" style="231" customWidth="1"/>
    <col min="10963" max="10963" width="14.25" style="231" customWidth="1"/>
    <col min="10964" max="10964" width="4.25" style="231" customWidth="1"/>
    <col min="10965" max="10965" width="8.875" style="231" bestFit="1" customWidth="1"/>
    <col min="10966" max="10966" width="6.375" style="231" bestFit="1" customWidth="1"/>
    <col min="10967" max="10967" width="2.125" style="231" customWidth="1"/>
    <col min="10968" max="10968" width="8.5" style="231" bestFit="1" customWidth="1"/>
    <col min="10969" max="10969" width="6.375" style="231" bestFit="1" customWidth="1"/>
    <col min="10970" max="10970" width="2.375" style="231" customWidth="1"/>
    <col min="10971" max="10971" width="9.5" style="231" bestFit="1" customWidth="1"/>
    <col min="10972" max="10972" width="7" style="231" bestFit="1" customWidth="1"/>
    <col min="10973" max="10973" width="1.75" style="231" customWidth="1"/>
    <col min="10974" max="10974" width="8.875" style="231" bestFit="1" customWidth="1"/>
    <col min="10975" max="10975" width="2" style="231" customWidth="1"/>
    <col min="10976" max="10976" width="8.875" style="231" bestFit="1" customWidth="1"/>
    <col min="10977" max="10977" width="6.375" style="231" bestFit="1" customWidth="1"/>
    <col min="10978" max="10978" width="1.375" style="231" customWidth="1"/>
    <col min="10979" max="10979" width="8.5" style="231" bestFit="1" customWidth="1"/>
    <col min="10980" max="10980" width="6.375" style="231" bestFit="1" customWidth="1"/>
    <col min="10981" max="10981" width="1.75" style="231" customWidth="1"/>
    <col min="10982" max="10982" width="9.5" style="231" bestFit="1" customWidth="1"/>
    <col min="10983" max="10983" width="7" style="231" bestFit="1" customWidth="1"/>
    <col min="10984" max="10984" width="1.625" style="231" customWidth="1"/>
    <col min="10985" max="10985" width="7.25" style="231" bestFit="1" customWidth="1"/>
    <col min="10986" max="10986" width="2.625" style="231" customWidth="1"/>
    <col min="10987" max="10987" width="13.25" style="231" customWidth="1"/>
    <col min="10988" max="10988" width="6.375" style="231" bestFit="1" customWidth="1"/>
    <col min="10989" max="10989" width="1.75" style="231" customWidth="1"/>
    <col min="10990" max="10990" width="8.5" style="231"/>
    <col min="10991" max="10991" width="42.25" style="231" bestFit="1" customWidth="1"/>
    <col min="10992" max="10992" width="1.25" style="231" customWidth="1"/>
    <col min="10993" max="10993" width="11.625" style="231" customWidth="1"/>
    <col min="10994" max="10994" width="1.25" style="231" customWidth="1"/>
    <col min="10995" max="10995" width="9.625" style="231" customWidth="1"/>
    <col min="10996" max="10996" width="8.125" style="231" customWidth="1"/>
    <col min="10997" max="10997" width="1.25" style="231" customWidth="1"/>
    <col min="10998" max="10998" width="8.125" style="231" customWidth="1"/>
    <col min="10999" max="10999" width="1.625" style="231" customWidth="1"/>
    <col min="11000" max="11000" width="8" style="231" bestFit="1" customWidth="1"/>
    <col min="11001" max="11001" width="9.75" style="231" bestFit="1" customWidth="1"/>
    <col min="11002" max="11216" width="7" style="231" customWidth="1"/>
    <col min="11217" max="11217" width="20.75" style="231" customWidth="1"/>
    <col min="11218" max="11218" width="1.875" style="231" customWidth="1"/>
    <col min="11219" max="11219" width="14.25" style="231" customWidth="1"/>
    <col min="11220" max="11220" width="4.25" style="231" customWidth="1"/>
    <col min="11221" max="11221" width="8.875" style="231" bestFit="1" customWidth="1"/>
    <col min="11222" max="11222" width="6.375" style="231" bestFit="1" customWidth="1"/>
    <col min="11223" max="11223" width="2.125" style="231" customWidth="1"/>
    <col min="11224" max="11224" width="8.5" style="231" bestFit="1" customWidth="1"/>
    <col min="11225" max="11225" width="6.375" style="231" bestFit="1" customWidth="1"/>
    <col min="11226" max="11226" width="2.375" style="231" customWidth="1"/>
    <col min="11227" max="11227" width="9.5" style="231" bestFit="1" customWidth="1"/>
    <col min="11228" max="11228" width="7" style="231" bestFit="1" customWidth="1"/>
    <col min="11229" max="11229" width="1.75" style="231" customWidth="1"/>
    <col min="11230" max="11230" width="8.875" style="231" bestFit="1" customWidth="1"/>
    <col min="11231" max="11231" width="2" style="231" customWidth="1"/>
    <col min="11232" max="11232" width="8.875" style="231" bestFit="1" customWidth="1"/>
    <col min="11233" max="11233" width="6.375" style="231" bestFit="1" customWidth="1"/>
    <col min="11234" max="11234" width="1.375" style="231" customWidth="1"/>
    <col min="11235" max="11235" width="8.5" style="231" bestFit="1" customWidth="1"/>
    <col min="11236" max="11236" width="6.375" style="231" bestFit="1" customWidth="1"/>
    <col min="11237" max="11237" width="1.75" style="231" customWidth="1"/>
    <col min="11238" max="11238" width="9.5" style="231" bestFit="1" customWidth="1"/>
    <col min="11239" max="11239" width="7" style="231" bestFit="1" customWidth="1"/>
    <col min="11240" max="11240" width="1.625" style="231" customWidth="1"/>
    <col min="11241" max="11241" width="7.25" style="231" bestFit="1" customWidth="1"/>
    <col min="11242" max="11242" width="2.625" style="231" customWidth="1"/>
    <col min="11243" max="11243" width="13.25" style="231" customWidth="1"/>
    <col min="11244" max="11244" width="6.375" style="231" bestFit="1" customWidth="1"/>
    <col min="11245" max="11245" width="1.75" style="231" customWidth="1"/>
    <col min="11246" max="11246" width="8.5" style="231"/>
    <col min="11247" max="11247" width="42.25" style="231" bestFit="1" customWidth="1"/>
    <col min="11248" max="11248" width="1.25" style="231" customWidth="1"/>
    <col min="11249" max="11249" width="11.625" style="231" customWidth="1"/>
    <col min="11250" max="11250" width="1.25" style="231" customWidth="1"/>
    <col min="11251" max="11251" width="9.625" style="231" customWidth="1"/>
    <col min="11252" max="11252" width="8.125" style="231" customWidth="1"/>
    <col min="11253" max="11253" width="1.25" style="231" customWidth="1"/>
    <col min="11254" max="11254" width="8.125" style="231" customWidth="1"/>
    <col min="11255" max="11255" width="1.625" style="231" customWidth="1"/>
    <col min="11256" max="11256" width="8" style="231" bestFit="1" customWidth="1"/>
    <col min="11257" max="11257" width="9.75" style="231" bestFit="1" customWidth="1"/>
    <col min="11258" max="11472" width="7" style="231" customWidth="1"/>
    <col min="11473" max="11473" width="20.75" style="231" customWidth="1"/>
    <col min="11474" max="11474" width="1.875" style="231" customWidth="1"/>
    <col min="11475" max="11475" width="14.25" style="231" customWidth="1"/>
    <col min="11476" max="11476" width="4.25" style="231" customWidth="1"/>
    <col min="11477" max="11477" width="8.875" style="231" bestFit="1" customWidth="1"/>
    <col min="11478" max="11478" width="6.375" style="231" bestFit="1" customWidth="1"/>
    <col min="11479" max="11479" width="2.125" style="231" customWidth="1"/>
    <col min="11480" max="11480" width="8.5" style="231" bestFit="1" customWidth="1"/>
    <col min="11481" max="11481" width="6.375" style="231" bestFit="1" customWidth="1"/>
    <col min="11482" max="11482" width="2.375" style="231" customWidth="1"/>
    <col min="11483" max="11483" width="9.5" style="231" bestFit="1" customWidth="1"/>
    <col min="11484" max="11484" width="7" style="231" bestFit="1" customWidth="1"/>
    <col min="11485" max="11485" width="1.75" style="231" customWidth="1"/>
    <col min="11486" max="11486" width="8.875" style="231" bestFit="1" customWidth="1"/>
    <col min="11487" max="11487" width="2" style="231" customWidth="1"/>
    <col min="11488" max="11488" width="8.875" style="231" bestFit="1" customWidth="1"/>
    <col min="11489" max="11489" width="6.375" style="231" bestFit="1" customWidth="1"/>
    <col min="11490" max="11490" width="1.375" style="231" customWidth="1"/>
    <col min="11491" max="11491" width="8.5" style="231" bestFit="1" customWidth="1"/>
    <col min="11492" max="11492" width="6.375" style="231" bestFit="1" customWidth="1"/>
    <col min="11493" max="11493" width="1.75" style="231" customWidth="1"/>
    <col min="11494" max="11494" width="9.5" style="231" bestFit="1" customWidth="1"/>
    <col min="11495" max="11495" width="7" style="231" bestFit="1" customWidth="1"/>
    <col min="11496" max="11496" width="1.625" style="231" customWidth="1"/>
    <col min="11497" max="11497" width="7.25" style="231" bestFit="1" customWidth="1"/>
    <col min="11498" max="11498" width="2.625" style="231" customWidth="1"/>
    <col min="11499" max="11499" width="13.25" style="231" customWidth="1"/>
    <col min="11500" max="11500" width="6.375" style="231" bestFit="1" customWidth="1"/>
    <col min="11501" max="11501" width="1.75" style="231" customWidth="1"/>
    <col min="11502" max="11502" width="8.5" style="231"/>
    <col min="11503" max="11503" width="42.25" style="231" bestFit="1" customWidth="1"/>
    <col min="11504" max="11504" width="1.25" style="231" customWidth="1"/>
    <col min="11505" max="11505" width="11.625" style="231" customWidth="1"/>
    <col min="11506" max="11506" width="1.25" style="231" customWidth="1"/>
    <col min="11507" max="11507" width="9.625" style="231" customWidth="1"/>
    <col min="11508" max="11508" width="8.125" style="231" customWidth="1"/>
    <col min="11509" max="11509" width="1.25" style="231" customWidth="1"/>
    <col min="11510" max="11510" width="8.125" style="231" customWidth="1"/>
    <col min="11511" max="11511" width="1.625" style="231" customWidth="1"/>
    <col min="11512" max="11512" width="8" style="231" bestFit="1" customWidth="1"/>
    <col min="11513" max="11513" width="9.75" style="231" bestFit="1" customWidth="1"/>
    <col min="11514" max="11728" width="7" style="231" customWidth="1"/>
    <col min="11729" max="11729" width="20.75" style="231" customWidth="1"/>
    <col min="11730" max="11730" width="1.875" style="231" customWidth="1"/>
    <col min="11731" max="11731" width="14.25" style="231" customWidth="1"/>
    <col min="11732" max="11732" width="4.25" style="231" customWidth="1"/>
    <col min="11733" max="11733" width="8.875" style="231" bestFit="1" customWidth="1"/>
    <col min="11734" max="11734" width="6.375" style="231" bestFit="1" customWidth="1"/>
    <col min="11735" max="11735" width="2.125" style="231" customWidth="1"/>
    <col min="11736" max="11736" width="8.5" style="231" bestFit="1" customWidth="1"/>
    <col min="11737" max="11737" width="6.375" style="231" bestFit="1" customWidth="1"/>
    <col min="11738" max="11738" width="2.375" style="231" customWidth="1"/>
    <col min="11739" max="11739" width="9.5" style="231" bestFit="1" customWidth="1"/>
    <col min="11740" max="11740" width="7" style="231" bestFit="1" customWidth="1"/>
    <col min="11741" max="11741" width="1.75" style="231" customWidth="1"/>
    <col min="11742" max="11742" width="8.875" style="231" bestFit="1" customWidth="1"/>
    <col min="11743" max="11743" width="2" style="231" customWidth="1"/>
    <col min="11744" max="11744" width="8.875" style="231" bestFit="1" customWidth="1"/>
    <col min="11745" max="11745" width="6.375" style="231" bestFit="1" customWidth="1"/>
    <col min="11746" max="11746" width="1.375" style="231" customWidth="1"/>
    <col min="11747" max="11747" width="8.5" style="231" bestFit="1" customWidth="1"/>
    <col min="11748" max="11748" width="6.375" style="231" bestFit="1" customWidth="1"/>
    <col min="11749" max="11749" width="1.75" style="231" customWidth="1"/>
    <col min="11750" max="11750" width="9.5" style="231" bestFit="1" customWidth="1"/>
    <col min="11751" max="11751" width="7" style="231" bestFit="1" customWidth="1"/>
    <col min="11752" max="11752" width="1.625" style="231" customWidth="1"/>
    <col min="11753" max="11753" width="7.25" style="231" bestFit="1" customWidth="1"/>
    <col min="11754" max="11754" width="2.625" style="231" customWidth="1"/>
    <col min="11755" max="11755" width="13.25" style="231" customWidth="1"/>
    <col min="11756" max="11756" width="6.375" style="231" bestFit="1" customWidth="1"/>
    <col min="11757" max="11757" width="1.75" style="231" customWidth="1"/>
    <col min="11758" max="11758" width="8.5" style="231"/>
    <col min="11759" max="11759" width="42.25" style="231" bestFit="1" customWidth="1"/>
    <col min="11760" max="11760" width="1.25" style="231" customWidth="1"/>
    <col min="11761" max="11761" width="11.625" style="231" customWidth="1"/>
    <col min="11762" max="11762" width="1.25" style="231" customWidth="1"/>
    <col min="11763" max="11763" width="9.625" style="231" customWidth="1"/>
    <col min="11764" max="11764" width="8.125" style="231" customWidth="1"/>
    <col min="11765" max="11765" width="1.25" style="231" customWidth="1"/>
    <col min="11766" max="11766" width="8.125" style="231" customWidth="1"/>
    <col min="11767" max="11767" width="1.625" style="231" customWidth="1"/>
    <col min="11768" max="11768" width="8" style="231" bestFit="1" customWidth="1"/>
    <col min="11769" max="11769" width="9.75" style="231" bestFit="1" customWidth="1"/>
    <col min="11770" max="11984" width="7" style="231" customWidth="1"/>
    <col min="11985" max="11985" width="20.75" style="231" customWidth="1"/>
    <col min="11986" max="11986" width="1.875" style="231" customWidth="1"/>
    <col min="11987" max="11987" width="14.25" style="231" customWidth="1"/>
    <col min="11988" max="11988" width="4.25" style="231" customWidth="1"/>
    <col min="11989" max="11989" width="8.875" style="231" bestFit="1" customWidth="1"/>
    <col min="11990" max="11990" width="6.375" style="231" bestFit="1" customWidth="1"/>
    <col min="11991" max="11991" width="2.125" style="231" customWidth="1"/>
    <col min="11992" max="11992" width="8.5" style="231" bestFit="1" customWidth="1"/>
    <col min="11993" max="11993" width="6.375" style="231" bestFit="1" customWidth="1"/>
    <col min="11994" max="11994" width="2.375" style="231" customWidth="1"/>
    <col min="11995" max="11995" width="9.5" style="231" bestFit="1" customWidth="1"/>
    <col min="11996" max="11996" width="7" style="231" bestFit="1" customWidth="1"/>
    <col min="11997" max="11997" width="1.75" style="231" customWidth="1"/>
    <col min="11998" max="11998" width="8.875" style="231" bestFit="1" customWidth="1"/>
    <col min="11999" max="11999" width="2" style="231" customWidth="1"/>
    <col min="12000" max="12000" width="8.875" style="231" bestFit="1" customWidth="1"/>
    <col min="12001" max="12001" width="6.375" style="231" bestFit="1" customWidth="1"/>
    <col min="12002" max="12002" width="1.375" style="231" customWidth="1"/>
    <col min="12003" max="12003" width="8.5" style="231" bestFit="1" customWidth="1"/>
    <col min="12004" max="12004" width="6.375" style="231" bestFit="1" customWidth="1"/>
    <col min="12005" max="12005" width="1.75" style="231" customWidth="1"/>
    <col min="12006" max="12006" width="9.5" style="231" bestFit="1" customWidth="1"/>
    <col min="12007" max="12007" width="7" style="231" bestFit="1" customWidth="1"/>
    <col min="12008" max="12008" width="1.625" style="231" customWidth="1"/>
    <col min="12009" max="12009" width="7.25" style="231" bestFit="1" customWidth="1"/>
    <col min="12010" max="12010" width="2.625" style="231" customWidth="1"/>
    <col min="12011" max="12011" width="13.25" style="231" customWidth="1"/>
    <col min="12012" max="12012" width="6.375" style="231" bestFit="1" customWidth="1"/>
    <col min="12013" max="12013" width="1.75" style="231" customWidth="1"/>
    <col min="12014" max="12014" width="8.5" style="231"/>
    <col min="12015" max="12015" width="42.25" style="231" bestFit="1" customWidth="1"/>
    <col min="12016" max="12016" width="1.25" style="231" customWidth="1"/>
    <col min="12017" max="12017" width="11.625" style="231" customWidth="1"/>
    <col min="12018" max="12018" width="1.25" style="231" customWidth="1"/>
    <col min="12019" max="12019" width="9.625" style="231" customWidth="1"/>
    <col min="12020" max="12020" width="8.125" style="231" customWidth="1"/>
    <col min="12021" max="12021" width="1.25" style="231" customWidth="1"/>
    <col min="12022" max="12022" width="8.125" style="231" customWidth="1"/>
    <col min="12023" max="12023" width="1.625" style="231" customWidth="1"/>
    <col min="12024" max="12024" width="8" style="231" bestFit="1" customWidth="1"/>
    <col min="12025" max="12025" width="9.75" style="231" bestFit="1" customWidth="1"/>
    <col min="12026" max="12240" width="7" style="231" customWidth="1"/>
    <col min="12241" max="12241" width="20.75" style="231" customWidth="1"/>
    <col min="12242" max="12242" width="1.875" style="231" customWidth="1"/>
    <col min="12243" max="12243" width="14.25" style="231" customWidth="1"/>
    <col min="12244" max="12244" width="4.25" style="231" customWidth="1"/>
    <col min="12245" max="12245" width="8.875" style="231" bestFit="1" customWidth="1"/>
    <col min="12246" max="12246" width="6.375" style="231" bestFit="1" customWidth="1"/>
    <col min="12247" max="12247" width="2.125" style="231" customWidth="1"/>
    <col min="12248" max="12248" width="8.5" style="231" bestFit="1" customWidth="1"/>
    <col min="12249" max="12249" width="6.375" style="231" bestFit="1" customWidth="1"/>
    <col min="12250" max="12250" width="2.375" style="231" customWidth="1"/>
    <col min="12251" max="12251" width="9.5" style="231" bestFit="1" customWidth="1"/>
    <col min="12252" max="12252" width="7" style="231" bestFit="1" customWidth="1"/>
    <col min="12253" max="12253" width="1.75" style="231" customWidth="1"/>
    <col min="12254" max="12254" width="8.875" style="231" bestFit="1" customWidth="1"/>
    <col min="12255" max="12255" width="2" style="231" customWidth="1"/>
    <col min="12256" max="12256" width="8.875" style="231" bestFit="1" customWidth="1"/>
    <col min="12257" max="12257" width="6.375" style="231" bestFit="1" customWidth="1"/>
    <col min="12258" max="12258" width="1.375" style="231" customWidth="1"/>
    <col min="12259" max="12259" width="8.5" style="231" bestFit="1" customWidth="1"/>
    <col min="12260" max="12260" width="6.375" style="231" bestFit="1" customWidth="1"/>
    <col min="12261" max="12261" width="1.75" style="231" customWidth="1"/>
    <col min="12262" max="12262" width="9.5" style="231" bestFit="1" customWidth="1"/>
    <col min="12263" max="12263" width="7" style="231" bestFit="1" customWidth="1"/>
    <col min="12264" max="12264" width="1.625" style="231" customWidth="1"/>
    <col min="12265" max="12265" width="7.25" style="231" bestFit="1" customWidth="1"/>
    <col min="12266" max="12266" width="2.625" style="231" customWidth="1"/>
    <col min="12267" max="12267" width="13.25" style="231" customWidth="1"/>
    <col min="12268" max="12268" width="6.375" style="231" bestFit="1" customWidth="1"/>
    <col min="12269" max="12269" width="1.75" style="231" customWidth="1"/>
    <col min="12270" max="12270" width="8.5" style="231"/>
    <col min="12271" max="12271" width="42.25" style="231" bestFit="1" customWidth="1"/>
    <col min="12272" max="12272" width="1.25" style="231" customWidth="1"/>
    <col min="12273" max="12273" width="11.625" style="231" customWidth="1"/>
    <col min="12274" max="12274" width="1.25" style="231" customWidth="1"/>
    <col min="12275" max="12275" width="9.625" style="231" customWidth="1"/>
    <col min="12276" max="12276" width="8.125" style="231" customWidth="1"/>
    <col min="12277" max="12277" width="1.25" style="231" customWidth="1"/>
    <col min="12278" max="12278" width="8.125" style="231" customWidth="1"/>
    <col min="12279" max="12279" width="1.625" style="231" customWidth="1"/>
    <col min="12280" max="12280" width="8" style="231" bestFit="1" customWidth="1"/>
    <col min="12281" max="12281" width="9.75" style="231" bestFit="1" customWidth="1"/>
    <col min="12282" max="12496" width="7" style="231" customWidth="1"/>
    <col min="12497" max="12497" width="20.75" style="231" customWidth="1"/>
    <col min="12498" max="12498" width="1.875" style="231" customWidth="1"/>
    <col min="12499" max="12499" width="14.25" style="231" customWidth="1"/>
    <col min="12500" max="12500" width="4.25" style="231" customWidth="1"/>
    <col min="12501" max="12501" width="8.875" style="231" bestFit="1" customWidth="1"/>
    <col min="12502" max="12502" width="6.375" style="231" bestFit="1" customWidth="1"/>
    <col min="12503" max="12503" width="2.125" style="231" customWidth="1"/>
    <col min="12504" max="12504" width="8.5" style="231" bestFit="1" customWidth="1"/>
    <col min="12505" max="12505" width="6.375" style="231" bestFit="1" customWidth="1"/>
    <col min="12506" max="12506" width="2.375" style="231" customWidth="1"/>
    <col min="12507" max="12507" width="9.5" style="231" bestFit="1" customWidth="1"/>
    <col min="12508" max="12508" width="7" style="231" bestFit="1" customWidth="1"/>
    <col min="12509" max="12509" width="1.75" style="231" customWidth="1"/>
    <col min="12510" max="12510" width="8.875" style="231" bestFit="1" customWidth="1"/>
    <col min="12511" max="12511" width="2" style="231" customWidth="1"/>
    <col min="12512" max="12512" width="8.875" style="231" bestFit="1" customWidth="1"/>
    <col min="12513" max="12513" width="6.375" style="231" bestFit="1" customWidth="1"/>
    <col min="12514" max="12514" width="1.375" style="231" customWidth="1"/>
    <col min="12515" max="12515" width="8.5" style="231" bestFit="1" customWidth="1"/>
    <col min="12516" max="12516" width="6.375" style="231" bestFit="1" customWidth="1"/>
    <col min="12517" max="12517" width="1.75" style="231" customWidth="1"/>
    <col min="12518" max="12518" width="9.5" style="231" bestFit="1" customWidth="1"/>
    <col min="12519" max="12519" width="7" style="231" bestFit="1" customWidth="1"/>
    <col min="12520" max="12520" width="1.625" style="231" customWidth="1"/>
    <col min="12521" max="12521" width="7.25" style="231" bestFit="1" customWidth="1"/>
    <col min="12522" max="12522" width="2.625" style="231" customWidth="1"/>
    <col min="12523" max="12523" width="13.25" style="231" customWidth="1"/>
    <col min="12524" max="12524" width="6.375" style="231" bestFit="1" customWidth="1"/>
    <col min="12525" max="12525" width="1.75" style="231" customWidth="1"/>
    <col min="12526" max="12526" width="8.5" style="231"/>
    <col min="12527" max="12527" width="42.25" style="231" bestFit="1" customWidth="1"/>
    <col min="12528" max="12528" width="1.25" style="231" customWidth="1"/>
    <col min="12529" max="12529" width="11.625" style="231" customWidth="1"/>
    <col min="12530" max="12530" width="1.25" style="231" customWidth="1"/>
    <col min="12531" max="12531" width="9.625" style="231" customWidth="1"/>
    <col min="12532" max="12532" width="8.125" style="231" customWidth="1"/>
    <col min="12533" max="12533" width="1.25" style="231" customWidth="1"/>
    <col min="12534" max="12534" width="8.125" style="231" customWidth="1"/>
    <col min="12535" max="12535" width="1.625" style="231" customWidth="1"/>
    <col min="12536" max="12536" width="8" style="231" bestFit="1" customWidth="1"/>
    <col min="12537" max="12537" width="9.75" style="231" bestFit="1" customWidth="1"/>
    <col min="12538" max="12752" width="7" style="231" customWidth="1"/>
    <col min="12753" max="12753" width="20.75" style="231" customWidth="1"/>
    <col min="12754" max="12754" width="1.875" style="231" customWidth="1"/>
    <col min="12755" max="12755" width="14.25" style="231" customWidth="1"/>
    <col min="12756" max="12756" width="4.25" style="231" customWidth="1"/>
    <col min="12757" max="12757" width="8.875" style="231" bestFit="1" customWidth="1"/>
    <col min="12758" max="12758" width="6.375" style="231" bestFit="1" customWidth="1"/>
    <col min="12759" max="12759" width="2.125" style="231" customWidth="1"/>
    <col min="12760" max="12760" width="8.5" style="231" bestFit="1" customWidth="1"/>
    <col min="12761" max="12761" width="6.375" style="231" bestFit="1" customWidth="1"/>
    <col min="12762" max="12762" width="2.375" style="231" customWidth="1"/>
    <col min="12763" max="12763" width="9.5" style="231" bestFit="1" customWidth="1"/>
    <col min="12764" max="12764" width="7" style="231" bestFit="1" customWidth="1"/>
    <col min="12765" max="12765" width="1.75" style="231" customWidth="1"/>
    <col min="12766" max="12766" width="8.875" style="231" bestFit="1" customWidth="1"/>
    <col min="12767" max="12767" width="2" style="231" customWidth="1"/>
    <col min="12768" max="12768" width="8.875" style="231" bestFit="1" customWidth="1"/>
    <col min="12769" max="12769" width="6.375" style="231" bestFit="1" customWidth="1"/>
    <col min="12770" max="12770" width="1.375" style="231" customWidth="1"/>
    <col min="12771" max="12771" width="8.5" style="231" bestFit="1" customWidth="1"/>
    <col min="12772" max="12772" width="6.375" style="231" bestFit="1" customWidth="1"/>
    <col min="12773" max="12773" width="1.75" style="231" customWidth="1"/>
    <col min="12774" max="12774" width="9.5" style="231" bestFit="1" customWidth="1"/>
    <col min="12775" max="12775" width="7" style="231" bestFit="1" customWidth="1"/>
    <col min="12776" max="12776" width="1.625" style="231" customWidth="1"/>
    <col min="12777" max="12777" width="7.25" style="231" bestFit="1" customWidth="1"/>
    <col min="12778" max="12778" width="2.625" style="231" customWidth="1"/>
    <col min="12779" max="12779" width="13.25" style="231" customWidth="1"/>
    <col min="12780" max="12780" width="6.375" style="231" bestFit="1" customWidth="1"/>
    <col min="12781" max="12781" width="1.75" style="231" customWidth="1"/>
    <col min="12782" max="12782" width="8.5" style="231"/>
    <col min="12783" max="12783" width="42.25" style="231" bestFit="1" customWidth="1"/>
    <col min="12784" max="12784" width="1.25" style="231" customWidth="1"/>
    <col min="12785" max="12785" width="11.625" style="231" customWidth="1"/>
    <col min="12786" max="12786" width="1.25" style="231" customWidth="1"/>
    <col min="12787" max="12787" width="9.625" style="231" customWidth="1"/>
    <col min="12788" max="12788" width="8.125" style="231" customWidth="1"/>
    <col min="12789" max="12789" width="1.25" style="231" customWidth="1"/>
    <col min="12790" max="12790" width="8.125" style="231" customWidth="1"/>
    <col min="12791" max="12791" width="1.625" style="231" customWidth="1"/>
    <col min="12792" max="12792" width="8" style="231" bestFit="1" customWidth="1"/>
    <col min="12793" max="12793" width="9.75" style="231" bestFit="1" customWidth="1"/>
    <col min="12794" max="13008" width="7" style="231" customWidth="1"/>
    <col min="13009" max="13009" width="20.75" style="231" customWidth="1"/>
    <col min="13010" max="13010" width="1.875" style="231" customWidth="1"/>
    <col min="13011" max="13011" width="14.25" style="231" customWidth="1"/>
    <col min="13012" max="13012" width="4.25" style="231" customWidth="1"/>
    <col min="13013" max="13013" width="8.875" style="231" bestFit="1" customWidth="1"/>
    <col min="13014" max="13014" width="6.375" style="231" bestFit="1" customWidth="1"/>
    <col min="13015" max="13015" width="2.125" style="231" customWidth="1"/>
    <col min="13016" max="13016" width="8.5" style="231" bestFit="1" customWidth="1"/>
    <col min="13017" max="13017" width="6.375" style="231" bestFit="1" customWidth="1"/>
    <col min="13018" max="13018" width="2.375" style="231" customWidth="1"/>
    <col min="13019" max="13019" width="9.5" style="231" bestFit="1" customWidth="1"/>
    <col min="13020" max="13020" width="7" style="231" bestFit="1" customWidth="1"/>
    <col min="13021" max="13021" width="1.75" style="231" customWidth="1"/>
    <col min="13022" max="13022" width="8.875" style="231" bestFit="1" customWidth="1"/>
    <col min="13023" max="13023" width="2" style="231" customWidth="1"/>
    <col min="13024" max="13024" width="8.875" style="231" bestFit="1" customWidth="1"/>
    <col min="13025" max="13025" width="6.375" style="231" bestFit="1" customWidth="1"/>
    <col min="13026" max="13026" width="1.375" style="231" customWidth="1"/>
    <col min="13027" max="13027" width="8.5" style="231" bestFit="1" customWidth="1"/>
    <col min="13028" max="13028" width="6.375" style="231" bestFit="1" customWidth="1"/>
    <col min="13029" max="13029" width="1.75" style="231" customWidth="1"/>
    <col min="13030" max="13030" width="9.5" style="231" bestFit="1" customWidth="1"/>
    <col min="13031" max="13031" width="7" style="231" bestFit="1" customWidth="1"/>
    <col min="13032" max="13032" width="1.625" style="231" customWidth="1"/>
    <col min="13033" max="13033" width="7.25" style="231" bestFit="1" customWidth="1"/>
    <col min="13034" max="13034" width="2.625" style="231" customWidth="1"/>
    <col min="13035" max="13035" width="13.25" style="231" customWidth="1"/>
    <col min="13036" max="13036" width="6.375" style="231" bestFit="1" customWidth="1"/>
    <col min="13037" max="13037" width="1.75" style="231" customWidth="1"/>
    <col min="13038" max="13038" width="8.5" style="231"/>
    <col min="13039" max="13039" width="42.25" style="231" bestFit="1" customWidth="1"/>
    <col min="13040" max="13040" width="1.25" style="231" customWidth="1"/>
    <col min="13041" max="13041" width="11.625" style="231" customWidth="1"/>
    <col min="13042" max="13042" width="1.25" style="231" customWidth="1"/>
    <col min="13043" max="13043" width="9.625" style="231" customWidth="1"/>
    <col min="13044" max="13044" width="8.125" style="231" customWidth="1"/>
    <col min="13045" max="13045" width="1.25" style="231" customWidth="1"/>
    <col min="13046" max="13046" width="8.125" style="231" customWidth="1"/>
    <col min="13047" max="13047" width="1.625" style="231" customWidth="1"/>
    <col min="13048" max="13048" width="8" style="231" bestFit="1" customWidth="1"/>
    <col min="13049" max="13049" width="9.75" style="231" bestFit="1" customWidth="1"/>
    <col min="13050" max="13264" width="7" style="231" customWidth="1"/>
    <col min="13265" max="13265" width="20.75" style="231" customWidth="1"/>
    <col min="13266" max="13266" width="1.875" style="231" customWidth="1"/>
    <col min="13267" max="13267" width="14.25" style="231" customWidth="1"/>
    <col min="13268" max="13268" width="4.25" style="231" customWidth="1"/>
    <col min="13269" max="13269" width="8.875" style="231" bestFit="1" customWidth="1"/>
    <col min="13270" max="13270" width="6.375" style="231" bestFit="1" customWidth="1"/>
    <col min="13271" max="13271" width="2.125" style="231" customWidth="1"/>
    <col min="13272" max="13272" width="8.5" style="231" bestFit="1" customWidth="1"/>
    <col min="13273" max="13273" width="6.375" style="231" bestFit="1" customWidth="1"/>
    <col min="13274" max="13274" width="2.375" style="231" customWidth="1"/>
    <col min="13275" max="13275" width="9.5" style="231" bestFit="1" customWidth="1"/>
    <col min="13276" max="13276" width="7" style="231" bestFit="1" customWidth="1"/>
    <col min="13277" max="13277" width="1.75" style="231" customWidth="1"/>
    <col min="13278" max="13278" width="8.875" style="231" bestFit="1" customWidth="1"/>
    <col min="13279" max="13279" width="2" style="231" customWidth="1"/>
    <col min="13280" max="13280" width="8.875" style="231" bestFit="1" customWidth="1"/>
    <col min="13281" max="13281" width="6.375" style="231" bestFit="1" customWidth="1"/>
    <col min="13282" max="13282" width="1.375" style="231" customWidth="1"/>
    <col min="13283" max="13283" width="8.5" style="231" bestFit="1" customWidth="1"/>
    <col min="13284" max="13284" width="6.375" style="231" bestFit="1" customWidth="1"/>
    <col min="13285" max="13285" width="1.75" style="231" customWidth="1"/>
    <col min="13286" max="13286" width="9.5" style="231" bestFit="1" customWidth="1"/>
    <col min="13287" max="13287" width="7" style="231" bestFit="1" customWidth="1"/>
    <col min="13288" max="13288" width="1.625" style="231" customWidth="1"/>
    <col min="13289" max="13289" width="7.25" style="231" bestFit="1" customWidth="1"/>
    <col min="13290" max="13290" width="2.625" style="231" customWidth="1"/>
    <col min="13291" max="13291" width="13.25" style="231" customWidth="1"/>
    <col min="13292" max="13292" width="6.375" style="231" bestFit="1" customWidth="1"/>
    <col min="13293" max="13293" width="1.75" style="231" customWidth="1"/>
    <col min="13294" max="13294" width="8.5" style="231"/>
    <col min="13295" max="13295" width="42.25" style="231" bestFit="1" customWidth="1"/>
    <col min="13296" max="13296" width="1.25" style="231" customWidth="1"/>
    <col min="13297" max="13297" width="11.625" style="231" customWidth="1"/>
    <col min="13298" max="13298" width="1.25" style="231" customWidth="1"/>
    <col min="13299" max="13299" width="9.625" style="231" customWidth="1"/>
    <col min="13300" max="13300" width="8.125" style="231" customWidth="1"/>
    <col min="13301" max="13301" width="1.25" style="231" customWidth="1"/>
    <col min="13302" max="13302" width="8.125" style="231" customWidth="1"/>
    <col min="13303" max="13303" width="1.625" style="231" customWidth="1"/>
    <col min="13304" max="13304" width="8" style="231" bestFit="1" customWidth="1"/>
    <col min="13305" max="13305" width="9.75" style="231" bestFit="1" customWidth="1"/>
    <col min="13306" max="13520" width="7" style="231" customWidth="1"/>
    <col min="13521" max="13521" width="20.75" style="231" customWidth="1"/>
    <col min="13522" max="13522" width="1.875" style="231" customWidth="1"/>
    <col min="13523" max="13523" width="14.25" style="231" customWidth="1"/>
    <col min="13524" max="13524" width="4.25" style="231" customWidth="1"/>
    <col min="13525" max="13525" width="8.875" style="231" bestFit="1" customWidth="1"/>
    <col min="13526" max="13526" width="6.375" style="231" bestFit="1" customWidth="1"/>
    <col min="13527" max="13527" width="2.125" style="231" customWidth="1"/>
    <col min="13528" max="13528" width="8.5" style="231" bestFit="1" customWidth="1"/>
    <col min="13529" max="13529" width="6.375" style="231" bestFit="1" customWidth="1"/>
    <col min="13530" max="13530" width="2.375" style="231" customWidth="1"/>
    <col min="13531" max="13531" width="9.5" style="231" bestFit="1" customWidth="1"/>
    <col min="13532" max="13532" width="7" style="231" bestFit="1" customWidth="1"/>
    <col min="13533" max="13533" width="1.75" style="231" customWidth="1"/>
    <col min="13534" max="13534" width="8.875" style="231" bestFit="1" customWidth="1"/>
    <col min="13535" max="13535" width="2" style="231" customWidth="1"/>
    <col min="13536" max="13536" width="8.875" style="231" bestFit="1" customWidth="1"/>
    <col min="13537" max="13537" width="6.375" style="231" bestFit="1" customWidth="1"/>
    <col min="13538" max="13538" width="1.375" style="231" customWidth="1"/>
    <col min="13539" max="13539" width="8.5" style="231" bestFit="1" customWidth="1"/>
    <col min="13540" max="13540" width="6.375" style="231" bestFit="1" customWidth="1"/>
    <col min="13541" max="13541" width="1.75" style="231" customWidth="1"/>
    <col min="13542" max="13542" width="9.5" style="231" bestFit="1" customWidth="1"/>
    <col min="13543" max="13543" width="7" style="231" bestFit="1" customWidth="1"/>
    <col min="13544" max="13544" width="1.625" style="231" customWidth="1"/>
    <col min="13545" max="13545" width="7.25" style="231" bestFit="1" customWidth="1"/>
    <col min="13546" max="13546" width="2.625" style="231" customWidth="1"/>
    <col min="13547" max="13547" width="13.25" style="231" customWidth="1"/>
    <col min="13548" max="13548" width="6.375" style="231" bestFit="1" customWidth="1"/>
    <col min="13549" max="13549" width="1.75" style="231" customWidth="1"/>
    <col min="13550" max="13550" width="8.5" style="231"/>
    <col min="13551" max="13551" width="42.25" style="231" bestFit="1" customWidth="1"/>
    <col min="13552" max="13552" width="1.25" style="231" customWidth="1"/>
    <col min="13553" max="13553" width="11.625" style="231" customWidth="1"/>
    <col min="13554" max="13554" width="1.25" style="231" customWidth="1"/>
    <col min="13555" max="13555" width="9.625" style="231" customWidth="1"/>
    <col min="13556" max="13556" width="8.125" style="231" customWidth="1"/>
    <col min="13557" max="13557" width="1.25" style="231" customWidth="1"/>
    <col min="13558" max="13558" width="8.125" style="231" customWidth="1"/>
    <col min="13559" max="13559" width="1.625" style="231" customWidth="1"/>
    <col min="13560" max="13560" width="8" style="231" bestFit="1" customWidth="1"/>
    <col min="13561" max="13561" width="9.75" style="231" bestFit="1" customWidth="1"/>
    <col min="13562" max="13776" width="7" style="231" customWidth="1"/>
    <col min="13777" max="13777" width="20.75" style="231" customWidth="1"/>
    <col min="13778" max="13778" width="1.875" style="231" customWidth="1"/>
    <col min="13779" max="13779" width="14.25" style="231" customWidth="1"/>
    <col min="13780" max="13780" width="4.25" style="231" customWidth="1"/>
    <col min="13781" max="13781" width="8.875" style="231" bestFit="1" customWidth="1"/>
    <col min="13782" max="13782" width="6.375" style="231" bestFit="1" customWidth="1"/>
    <col min="13783" max="13783" width="2.125" style="231" customWidth="1"/>
    <col min="13784" max="13784" width="8.5" style="231" bestFit="1" customWidth="1"/>
    <col min="13785" max="13785" width="6.375" style="231" bestFit="1" customWidth="1"/>
    <col min="13786" max="13786" width="2.375" style="231" customWidth="1"/>
    <col min="13787" max="13787" width="9.5" style="231" bestFit="1" customWidth="1"/>
    <col min="13788" max="13788" width="7" style="231" bestFit="1" customWidth="1"/>
    <col min="13789" max="13789" width="1.75" style="231" customWidth="1"/>
    <col min="13790" max="13790" width="8.875" style="231" bestFit="1" customWidth="1"/>
    <col min="13791" max="13791" width="2" style="231" customWidth="1"/>
    <col min="13792" max="13792" width="8.875" style="231" bestFit="1" customWidth="1"/>
    <col min="13793" max="13793" width="6.375" style="231" bestFit="1" customWidth="1"/>
    <col min="13794" max="13794" width="1.375" style="231" customWidth="1"/>
    <col min="13795" max="13795" width="8.5" style="231" bestFit="1" customWidth="1"/>
    <col min="13796" max="13796" width="6.375" style="231" bestFit="1" customWidth="1"/>
    <col min="13797" max="13797" width="1.75" style="231" customWidth="1"/>
    <col min="13798" max="13798" width="9.5" style="231" bestFit="1" customWidth="1"/>
    <col min="13799" max="13799" width="7" style="231" bestFit="1" customWidth="1"/>
    <col min="13800" max="13800" width="1.625" style="231" customWidth="1"/>
    <col min="13801" max="13801" width="7.25" style="231" bestFit="1" customWidth="1"/>
    <col min="13802" max="13802" width="2.625" style="231" customWidth="1"/>
    <col min="13803" max="13803" width="13.25" style="231" customWidth="1"/>
    <col min="13804" max="13804" width="6.375" style="231" bestFit="1" customWidth="1"/>
    <col min="13805" max="13805" width="1.75" style="231" customWidth="1"/>
    <col min="13806" max="13806" width="8.5" style="231"/>
    <col min="13807" max="13807" width="42.25" style="231" bestFit="1" customWidth="1"/>
    <col min="13808" max="13808" width="1.25" style="231" customWidth="1"/>
    <col min="13809" max="13809" width="11.625" style="231" customWidth="1"/>
    <col min="13810" max="13810" width="1.25" style="231" customWidth="1"/>
    <col min="13811" max="13811" width="9.625" style="231" customWidth="1"/>
    <col min="13812" max="13812" width="8.125" style="231" customWidth="1"/>
    <col min="13813" max="13813" width="1.25" style="231" customWidth="1"/>
    <col min="13814" max="13814" width="8.125" style="231" customWidth="1"/>
    <col min="13815" max="13815" width="1.625" style="231" customWidth="1"/>
    <col min="13816" max="13816" width="8" style="231" bestFit="1" customWidth="1"/>
    <col min="13817" max="13817" width="9.75" style="231" bestFit="1" customWidth="1"/>
    <col min="13818" max="14032" width="7" style="231" customWidth="1"/>
    <col min="14033" max="14033" width="20.75" style="231" customWidth="1"/>
    <col min="14034" max="14034" width="1.875" style="231" customWidth="1"/>
    <col min="14035" max="14035" width="14.25" style="231" customWidth="1"/>
    <col min="14036" max="14036" width="4.25" style="231" customWidth="1"/>
    <col min="14037" max="14037" width="8.875" style="231" bestFit="1" customWidth="1"/>
    <col min="14038" max="14038" width="6.375" style="231" bestFit="1" customWidth="1"/>
    <col min="14039" max="14039" width="2.125" style="231" customWidth="1"/>
    <col min="14040" max="14040" width="8.5" style="231" bestFit="1" customWidth="1"/>
    <col min="14041" max="14041" width="6.375" style="231" bestFit="1" customWidth="1"/>
    <col min="14042" max="14042" width="2.375" style="231" customWidth="1"/>
    <col min="14043" max="14043" width="9.5" style="231" bestFit="1" customWidth="1"/>
    <col min="14044" max="14044" width="7" style="231" bestFit="1" customWidth="1"/>
    <col min="14045" max="14045" width="1.75" style="231" customWidth="1"/>
    <col min="14046" max="14046" width="8.875" style="231" bestFit="1" customWidth="1"/>
    <col min="14047" max="14047" width="2" style="231" customWidth="1"/>
    <col min="14048" max="14048" width="8.875" style="231" bestFit="1" customWidth="1"/>
    <col min="14049" max="14049" width="6.375" style="231" bestFit="1" customWidth="1"/>
    <col min="14050" max="14050" width="1.375" style="231" customWidth="1"/>
    <col min="14051" max="14051" width="8.5" style="231" bestFit="1" customWidth="1"/>
    <col min="14052" max="14052" width="6.375" style="231" bestFit="1" customWidth="1"/>
    <col min="14053" max="14053" width="1.75" style="231" customWidth="1"/>
    <col min="14054" max="14054" width="9.5" style="231" bestFit="1" customWidth="1"/>
    <col min="14055" max="14055" width="7" style="231" bestFit="1" customWidth="1"/>
    <col min="14056" max="14056" width="1.625" style="231" customWidth="1"/>
    <col min="14057" max="14057" width="7.25" style="231" bestFit="1" customWidth="1"/>
    <col min="14058" max="14058" width="2.625" style="231" customWidth="1"/>
    <col min="14059" max="14059" width="13.25" style="231" customWidth="1"/>
    <col min="14060" max="14060" width="6.375" style="231" bestFit="1" customWidth="1"/>
    <col min="14061" max="14061" width="1.75" style="231" customWidth="1"/>
    <col min="14062" max="14062" width="8.5" style="231"/>
    <col min="14063" max="14063" width="42.25" style="231" bestFit="1" customWidth="1"/>
    <col min="14064" max="14064" width="1.25" style="231" customWidth="1"/>
    <col min="14065" max="14065" width="11.625" style="231" customWidth="1"/>
    <col min="14066" max="14066" width="1.25" style="231" customWidth="1"/>
    <col min="14067" max="14067" width="9.625" style="231" customWidth="1"/>
    <col min="14068" max="14068" width="8.125" style="231" customWidth="1"/>
    <col min="14069" max="14069" width="1.25" style="231" customWidth="1"/>
    <col min="14070" max="14070" width="8.125" style="231" customWidth="1"/>
    <col min="14071" max="14071" width="1.625" style="231" customWidth="1"/>
    <col min="14072" max="14072" width="8" style="231" bestFit="1" customWidth="1"/>
    <col min="14073" max="14073" width="9.75" style="231" bestFit="1" customWidth="1"/>
    <col min="14074" max="14288" width="7" style="231" customWidth="1"/>
    <col min="14289" max="14289" width="20.75" style="231" customWidth="1"/>
    <col min="14290" max="14290" width="1.875" style="231" customWidth="1"/>
    <col min="14291" max="14291" width="14.25" style="231" customWidth="1"/>
    <col min="14292" max="14292" width="4.25" style="231" customWidth="1"/>
    <col min="14293" max="14293" width="8.875" style="231" bestFit="1" customWidth="1"/>
    <col min="14294" max="14294" width="6.375" style="231" bestFit="1" customWidth="1"/>
    <col min="14295" max="14295" width="2.125" style="231" customWidth="1"/>
    <col min="14296" max="14296" width="8.5" style="231" bestFit="1" customWidth="1"/>
    <col min="14297" max="14297" width="6.375" style="231" bestFit="1" customWidth="1"/>
    <col min="14298" max="14298" width="2.375" style="231" customWidth="1"/>
    <col min="14299" max="14299" width="9.5" style="231" bestFit="1" customWidth="1"/>
    <col min="14300" max="14300" width="7" style="231" bestFit="1" customWidth="1"/>
    <col min="14301" max="14301" width="1.75" style="231" customWidth="1"/>
    <col min="14302" max="14302" width="8.875" style="231" bestFit="1" customWidth="1"/>
    <col min="14303" max="14303" width="2" style="231" customWidth="1"/>
    <col min="14304" max="14304" width="8.875" style="231" bestFit="1" customWidth="1"/>
    <col min="14305" max="14305" width="6.375" style="231" bestFit="1" customWidth="1"/>
    <col min="14306" max="14306" width="1.375" style="231" customWidth="1"/>
    <col min="14307" max="14307" width="8.5" style="231" bestFit="1" customWidth="1"/>
    <col min="14308" max="14308" width="6.375" style="231" bestFit="1" customWidth="1"/>
    <col min="14309" max="14309" width="1.75" style="231" customWidth="1"/>
    <col min="14310" max="14310" width="9.5" style="231" bestFit="1" customWidth="1"/>
    <col min="14311" max="14311" width="7" style="231" bestFit="1" customWidth="1"/>
    <col min="14312" max="14312" width="1.625" style="231" customWidth="1"/>
    <col min="14313" max="14313" width="7.25" style="231" bestFit="1" customWidth="1"/>
    <col min="14314" max="14314" width="2.625" style="231" customWidth="1"/>
    <col min="14315" max="14315" width="13.25" style="231" customWidth="1"/>
    <col min="14316" max="14316" width="6.375" style="231" bestFit="1" customWidth="1"/>
    <col min="14317" max="14317" width="1.75" style="231" customWidth="1"/>
    <col min="14318" max="14318" width="8.5" style="231"/>
    <col min="14319" max="14319" width="42.25" style="231" bestFit="1" customWidth="1"/>
    <col min="14320" max="14320" width="1.25" style="231" customWidth="1"/>
    <col min="14321" max="14321" width="11.625" style="231" customWidth="1"/>
    <col min="14322" max="14322" width="1.25" style="231" customWidth="1"/>
    <col min="14323" max="14323" width="9.625" style="231" customWidth="1"/>
    <col min="14324" max="14324" width="8.125" style="231" customWidth="1"/>
    <col min="14325" max="14325" width="1.25" style="231" customWidth="1"/>
    <col min="14326" max="14326" width="8.125" style="231" customWidth="1"/>
    <col min="14327" max="14327" width="1.625" style="231" customWidth="1"/>
    <col min="14328" max="14328" width="8" style="231" bestFit="1" customWidth="1"/>
    <col min="14329" max="14329" width="9.75" style="231" bestFit="1" customWidth="1"/>
    <col min="14330" max="14544" width="7" style="231" customWidth="1"/>
    <col min="14545" max="14545" width="20.75" style="231" customWidth="1"/>
    <col min="14546" max="14546" width="1.875" style="231" customWidth="1"/>
    <col min="14547" max="14547" width="14.25" style="231" customWidth="1"/>
    <col min="14548" max="14548" width="4.25" style="231" customWidth="1"/>
    <col min="14549" max="14549" width="8.875" style="231" bestFit="1" customWidth="1"/>
    <col min="14550" max="14550" width="6.375" style="231" bestFit="1" customWidth="1"/>
    <col min="14551" max="14551" width="2.125" style="231" customWidth="1"/>
    <col min="14552" max="14552" width="8.5" style="231" bestFit="1" customWidth="1"/>
    <col min="14553" max="14553" width="6.375" style="231" bestFit="1" customWidth="1"/>
    <col min="14554" max="14554" width="2.375" style="231" customWidth="1"/>
    <col min="14555" max="14555" width="9.5" style="231" bestFit="1" customWidth="1"/>
    <col min="14556" max="14556" width="7" style="231" bestFit="1" customWidth="1"/>
    <col min="14557" max="14557" width="1.75" style="231" customWidth="1"/>
    <col min="14558" max="14558" width="8.875" style="231" bestFit="1" customWidth="1"/>
    <col min="14559" max="14559" width="2" style="231" customWidth="1"/>
    <col min="14560" max="14560" width="8.875" style="231" bestFit="1" customWidth="1"/>
    <col min="14561" max="14561" width="6.375" style="231" bestFit="1" customWidth="1"/>
    <col min="14562" max="14562" width="1.375" style="231" customWidth="1"/>
    <col min="14563" max="14563" width="8.5" style="231" bestFit="1" customWidth="1"/>
    <col min="14564" max="14564" width="6.375" style="231" bestFit="1" customWidth="1"/>
    <col min="14565" max="14565" width="1.75" style="231" customWidth="1"/>
    <col min="14566" max="14566" width="9.5" style="231" bestFit="1" customWidth="1"/>
    <col min="14567" max="14567" width="7" style="231" bestFit="1" customWidth="1"/>
    <col min="14568" max="14568" width="1.625" style="231" customWidth="1"/>
    <col min="14569" max="14569" width="7.25" style="231" bestFit="1" customWidth="1"/>
    <col min="14570" max="14570" width="2.625" style="231" customWidth="1"/>
    <col min="14571" max="14571" width="13.25" style="231" customWidth="1"/>
    <col min="14572" max="14572" width="6.375" style="231" bestFit="1" customWidth="1"/>
    <col min="14573" max="14573" width="1.75" style="231" customWidth="1"/>
    <col min="14574" max="14574" width="8.5" style="231"/>
    <col min="14575" max="14575" width="42.25" style="231" bestFit="1" customWidth="1"/>
    <col min="14576" max="14576" width="1.25" style="231" customWidth="1"/>
    <col min="14577" max="14577" width="11.625" style="231" customWidth="1"/>
    <col min="14578" max="14578" width="1.25" style="231" customWidth="1"/>
    <col min="14579" max="14579" width="9.625" style="231" customWidth="1"/>
    <col min="14580" max="14580" width="8.125" style="231" customWidth="1"/>
    <col min="14581" max="14581" width="1.25" style="231" customWidth="1"/>
    <col min="14582" max="14582" width="8.125" style="231" customWidth="1"/>
    <col min="14583" max="14583" width="1.625" style="231" customWidth="1"/>
    <col min="14584" max="14584" width="8" style="231" bestFit="1" customWidth="1"/>
    <col min="14585" max="14585" width="9.75" style="231" bestFit="1" customWidth="1"/>
    <col min="14586" max="14800" width="7" style="231" customWidth="1"/>
    <col min="14801" max="14801" width="20.75" style="231" customWidth="1"/>
    <col min="14802" max="14802" width="1.875" style="231" customWidth="1"/>
    <col min="14803" max="14803" width="14.25" style="231" customWidth="1"/>
    <col min="14804" max="14804" width="4.25" style="231" customWidth="1"/>
    <col min="14805" max="14805" width="8.875" style="231" bestFit="1" customWidth="1"/>
    <col min="14806" max="14806" width="6.375" style="231" bestFit="1" customWidth="1"/>
    <col min="14807" max="14807" width="2.125" style="231" customWidth="1"/>
    <col min="14808" max="14808" width="8.5" style="231" bestFit="1" customWidth="1"/>
    <col min="14809" max="14809" width="6.375" style="231" bestFit="1" customWidth="1"/>
    <col min="14810" max="14810" width="2.375" style="231" customWidth="1"/>
    <col min="14811" max="14811" width="9.5" style="231" bestFit="1" customWidth="1"/>
    <col min="14812" max="14812" width="7" style="231" bestFit="1" customWidth="1"/>
    <col min="14813" max="14813" width="1.75" style="231" customWidth="1"/>
    <col min="14814" max="14814" width="8.875" style="231" bestFit="1" customWidth="1"/>
    <col min="14815" max="14815" width="2" style="231" customWidth="1"/>
    <col min="14816" max="14816" width="8.875" style="231" bestFit="1" customWidth="1"/>
    <col min="14817" max="14817" width="6.375" style="231" bestFit="1" customWidth="1"/>
    <col min="14818" max="14818" width="1.375" style="231" customWidth="1"/>
    <col min="14819" max="14819" width="8.5" style="231" bestFit="1" customWidth="1"/>
    <col min="14820" max="14820" width="6.375" style="231" bestFit="1" customWidth="1"/>
    <col min="14821" max="14821" width="1.75" style="231" customWidth="1"/>
    <col min="14822" max="14822" width="9.5" style="231" bestFit="1" customWidth="1"/>
    <col min="14823" max="14823" width="7" style="231" bestFit="1" customWidth="1"/>
    <col min="14824" max="14824" width="1.625" style="231" customWidth="1"/>
    <col min="14825" max="14825" width="7.25" style="231" bestFit="1" customWidth="1"/>
    <col min="14826" max="14826" width="2.625" style="231" customWidth="1"/>
    <col min="14827" max="14827" width="13.25" style="231" customWidth="1"/>
    <col min="14828" max="14828" width="6.375" style="231" bestFit="1" customWidth="1"/>
    <col min="14829" max="14829" width="1.75" style="231" customWidth="1"/>
    <col min="14830" max="14830" width="8.5" style="231"/>
    <col min="14831" max="14831" width="42.25" style="231" bestFit="1" customWidth="1"/>
    <col min="14832" max="14832" width="1.25" style="231" customWidth="1"/>
    <col min="14833" max="14833" width="11.625" style="231" customWidth="1"/>
    <col min="14834" max="14834" width="1.25" style="231" customWidth="1"/>
    <col min="14835" max="14835" width="9.625" style="231" customWidth="1"/>
    <col min="14836" max="14836" width="8.125" style="231" customWidth="1"/>
    <col min="14837" max="14837" width="1.25" style="231" customWidth="1"/>
    <col min="14838" max="14838" width="8.125" style="231" customWidth="1"/>
    <col min="14839" max="14839" width="1.625" style="231" customWidth="1"/>
    <col min="14840" max="14840" width="8" style="231" bestFit="1" customWidth="1"/>
    <col min="14841" max="14841" width="9.75" style="231" bestFit="1" customWidth="1"/>
    <col min="14842" max="15056" width="7" style="231" customWidth="1"/>
    <col min="15057" max="15057" width="20.75" style="231" customWidth="1"/>
    <col min="15058" max="15058" width="1.875" style="231" customWidth="1"/>
    <col min="15059" max="15059" width="14.25" style="231" customWidth="1"/>
    <col min="15060" max="15060" width="4.25" style="231" customWidth="1"/>
    <col min="15061" max="15061" width="8.875" style="231" bestFit="1" customWidth="1"/>
    <col min="15062" max="15062" width="6.375" style="231" bestFit="1" customWidth="1"/>
    <col min="15063" max="15063" width="2.125" style="231" customWidth="1"/>
    <col min="15064" max="15064" width="8.5" style="231" bestFit="1" customWidth="1"/>
    <col min="15065" max="15065" width="6.375" style="231" bestFit="1" customWidth="1"/>
    <col min="15066" max="15066" width="2.375" style="231" customWidth="1"/>
    <col min="15067" max="15067" width="9.5" style="231" bestFit="1" customWidth="1"/>
    <col min="15068" max="15068" width="7" style="231" bestFit="1" customWidth="1"/>
    <col min="15069" max="15069" width="1.75" style="231" customWidth="1"/>
    <col min="15070" max="15070" width="8.875" style="231" bestFit="1" customWidth="1"/>
    <col min="15071" max="15071" width="2" style="231" customWidth="1"/>
    <col min="15072" max="15072" width="8.875" style="231" bestFit="1" customWidth="1"/>
    <col min="15073" max="15073" width="6.375" style="231" bestFit="1" customWidth="1"/>
    <col min="15074" max="15074" width="1.375" style="231" customWidth="1"/>
    <col min="15075" max="15075" width="8.5" style="231" bestFit="1" customWidth="1"/>
    <col min="15076" max="15076" width="6.375" style="231" bestFit="1" customWidth="1"/>
    <col min="15077" max="15077" width="1.75" style="231" customWidth="1"/>
    <col min="15078" max="15078" width="9.5" style="231" bestFit="1" customWidth="1"/>
    <col min="15079" max="15079" width="7" style="231" bestFit="1" customWidth="1"/>
    <col min="15080" max="15080" width="1.625" style="231" customWidth="1"/>
    <col min="15081" max="15081" width="7.25" style="231" bestFit="1" customWidth="1"/>
    <col min="15082" max="15082" width="2.625" style="231" customWidth="1"/>
    <col min="15083" max="15083" width="13.25" style="231" customWidth="1"/>
    <col min="15084" max="15084" width="6.375" style="231" bestFit="1" customWidth="1"/>
    <col min="15085" max="15085" width="1.75" style="231" customWidth="1"/>
    <col min="15086" max="15086" width="8.5" style="231"/>
    <col min="15087" max="15087" width="42.25" style="231" bestFit="1" customWidth="1"/>
    <col min="15088" max="15088" width="1.25" style="231" customWidth="1"/>
    <col min="15089" max="15089" width="11.625" style="231" customWidth="1"/>
    <col min="15090" max="15090" width="1.25" style="231" customWidth="1"/>
    <col min="15091" max="15091" width="9.625" style="231" customWidth="1"/>
    <col min="15092" max="15092" width="8.125" style="231" customWidth="1"/>
    <col min="15093" max="15093" width="1.25" style="231" customWidth="1"/>
    <col min="15094" max="15094" width="8.125" style="231" customWidth="1"/>
    <col min="15095" max="15095" width="1.625" style="231" customWidth="1"/>
    <col min="15096" max="15096" width="8" style="231" bestFit="1" customWidth="1"/>
    <col min="15097" max="15097" width="9.75" style="231" bestFit="1" customWidth="1"/>
    <col min="15098" max="15312" width="7" style="231" customWidth="1"/>
    <col min="15313" max="15313" width="20.75" style="231" customWidth="1"/>
    <col min="15314" max="15314" width="1.875" style="231" customWidth="1"/>
    <col min="15315" max="15315" width="14.25" style="231" customWidth="1"/>
    <col min="15316" max="15316" width="4.25" style="231" customWidth="1"/>
    <col min="15317" max="15317" width="8.875" style="231" bestFit="1" customWidth="1"/>
    <col min="15318" max="15318" width="6.375" style="231" bestFit="1" customWidth="1"/>
    <col min="15319" max="15319" width="2.125" style="231" customWidth="1"/>
    <col min="15320" max="15320" width="8.5" style="231" bestFit="1" customWidth="1"/>
    <col min="15321" max="15321" width="6.375" style="231" bestFit="1" customWidth="1"/>
    <col min="15322" max="15322" width="2.375" style="231" customWidth="1"/>
    <col min="15323" max="15323" width="9.5" style="231" bestFit="1" customWidth="1"/>
    <col min="15324" max="15324" width="7" style="231" bestFit="1" customWidth="1"/>
    <col min="15325" max="15325" width="1.75" style="231" customWidth="1"/>
    <col min="15326" max="15326" width="8.875" style="231" bestFit="1" customWidth="1"/>
    <col min="15327" max="15327" width="2" style="231" customWidth="1"/>
    <col min="15328" max="15328" width="8.875" style="231" bestFit="1" customWidth="1"/>
    <col min="15329" max="15329" width="6.375" style="231" bestFit="1" customWidth="1"/>
    <col min="15330" max="15330" width="1.375" style="231" customWidth="1"/>
    <col min="15331" max="15331" width="8.5" style="231" bestFit="1" customWidth="1"/>
    <col min="15332" max="15332" width="6.375" style="231" bestFit="1" customWidth="1"/>
    <col min="15333" max="15333" width="1.75" style="231" customWidth="1"/>
    <col min="15334" max="15334" width="9.5" style="231" bestFit="1" customWidth="1"/>
    <col min="15335" max="15335" width="7" style="231" bestFit="1" customWidth="1"/>
    <col min="15336" max="15336" width="1.625" style="231" customWidth="1"/>
    <col min="15337" max="15337" width="7.25" style="231" bestFit="1" customWidth="1"/>
    <col min="15338" max="15338" width="2.625" style="231" customWidth="1"/>
    <col min="15339" max="15339" width="13.25" style="231" customWidth="1"/>
    <col min="15340" max="15340" width="6.375" style="231" bestFit="1" customWidth="1"/>
    <col min="15341" max="15341" width="1.75" style="231" customWidth="1"/>
    <col min="15342" max="15342" width="8.5" style="231"/>
    <col min="15343" max="15343" width="42.25" style="231" bestFit="1" customWidth="1"/>
    <col min="15344" max="15344" width="1.25" style="231" customWidth="1"/>
    <col min="15345" max="15345" width="11.625" style="231" customWidth="1"/>
    <col min="15346" max="15346" width="1.25" style="231" customWidth="1"/>
    <col min="15347" max="15347" width="9.625" style="231" customWidth="1"/>
    <col min="15348" max="15348" width="8.125" style="231" customWidth="1"/>
    <col min="15349" max="15349" width="1.25" style="231" customWidth="1"/>
    <col min="15350" max="15350" width="8.125" style="231" customWidth="1"/>
    <col min="15351" max="15351" width="1.625" style="231" customWidth="1"/>
    <col min="15352" max="15352" width="8" style="231" bestFit="1" customWidth="1"/>
    <col min="15353" max="15353" width="9.75" style="231" bestFit="1" customWidth="1"/>
    <col min="15354" max="15568" width="7" style="231" customWidth="1"/>
    <col min="15569" max="15569" width="20.75" style="231" customWidth="1"/>
    <col min="15570" max="15570" width="1.875" style="231" customWidth="1"/>
    <col min="15571" max="15571" width="14.25" style="231" customWidth="1"/>
    <col min="15572" max="15572" width="4.25" style="231" customWidth="1"/>
    <col min="15573" max="15573" width="8.875" style="231" bestFit="1" customWidth="1"/>
    <col min="15574" max="15574" width="6.375" style="231" bestFit="1" customWidth="1"/>
    <col min="15575" max="15575" width="2.125" style="231" customWidth="1"/>
    <col min="15576" max="15576" width="8.5" style="231" bestFit="1" customWidth="1"/>
    <col min="15577" max="15577" width="6.375" style="231" bestFit="1" customWidth="1"/>
    <col min="15578" max="15578" width="2.375" style="231" customWidth="1"/>
    <col min="15579" max="15579" width="9.5" style="231" bestFit="1" customWidth="1"/>
    <col min="15580" max="15580" width="7" style="231" bestFit="1" customWidth="1"/>
    <col min="15581" max="15581" width="1.75" style="231" customWidth="1"/>
    <col min="15582" max="15582" width="8.875" style="231" bestFit="1" customWidth="1"/>
    <col min="15583" max="15583" width="2" style="231" customWidth="1"/>
    <col min="15584" max="15584" width="8.875" style="231" bestFit="1" customWidth="1"/>
    <col min="15585" max="15585" width="6.375" style="231" bestFit="1" customWidth="1"/>
    <col min="15586" max="15586" width="1.375" style="231" customWidth="1"/>
    <col min="15587" max="15587" width="8.5" style="231" bestFit="1" customWidth="1"/>
    <col min="15588" max="15588" width="6.375" style="231" bestFit="1" customWidth="1"/>
    <col min="15589" max="15589" width="1.75" style="231" customWidth="1"/>
    <col min="15590" max="15590" width="9.5" style="231" bestFit="1" customWidth="1"/>
    <col min="15591" max="15591" width="7" style="231" bestFit="1" customWidth="1"/>
    <col min="15592" max="15592" width="1.625" style="231" customWidth="1"/>
    <col min="15593" max="15593" width="7.25" style="231" bestFit="1" customWidth="1"/>
    <col min="15594" max="15594" width="2.625" style="231" customWidth="1"/>
    <col min="15595" max="15595" width="13.25" style="231" customWidth="1"/>
    <col min="15596" max="15596" width="6.375" style="231" bestFit="1" customWidth="1"/>
    <col min="15597" max="15597" width="1.75" style="231" customWidth="1"/>
    <col min="15598" max="15598" width="8.5" style="231"/>
    <col min="15599" max="15599" width="42.25" style="231" bestFit="1" customWidth="1"/>
    <col min="15600" max="15600" width="1.25" style="231" customWidth="1"/>
    <col min="15601" max="15601" width="11.625" style="231" customWidth="1"/>
    <col min="15602" max="15602" width="1.25" style="231" customWidth="1"/>
    <col min="15603" max="15603" width="9.625" style="231" customWidth="1"/>
    <col min="15604" max="15604" width="8.125" style="231" customWidth="1"/>
    <col min="15605" max="15605" width="1.25" style="231" customWidth="1"/>
    <col min="15606" max="15606" width="8.125" style="231" customWidth="1"/>
    <col min="15607" max="15607" width="1.625" style="231" customWidth="1"/>
    <col min="15608" max="15608" width="8" style="231" bestFit="1" customWidth="1"/>
    <col min="15609" max="15609" width="9.75" style="231" bestFit="1" customWidth="1"/>
    <col min="15610" max="15824" width="7" style="231" customWidth="1"/>
    <col min="15825" max="15825" width="20.75" style="231" customWidth="1"/>
    <col min="15826" max="15826" width="1.875" style="231" customWidth="1"/>
    <col min="15827" max="15827" width="14.25" style="231" customWidth="1"/>
    <col min="15828" max="15828" width="4.25" style="231" customWidth="1"/>
    <col min="15829" max="15829" width="8.875" style="231" bestFit="1" customWidth="1"/>
    <col min="15830" max="15830" width="6.375" style="231" bestFit="1" customWidth="1"/>
    <col min="15831" max="15831" width="2.125" style="231" customWidth="1"/>
    <col min="15832" max="15832" width="8.5" style="231" bestFit="1" customWidth="1"/>
    <col min="15833" max="15833" width="6.375" style="231" bestFit="1" customWidth="1"/>
    <col min="15834" max="15834" width="2.375" style="231" customWidth="1"/>
    <col min="15835" max="15835" width="9.5" style="231" bestFit="1" customWidth="1"/>
    <col min="15836" max="15836" width="7" style="231" bestFit="1" customWidth="1"/>
    <col min="15837" max="15837" width="1.75" style="231" customWidth="1"/>
    <col min="15838" max="15838" width="8.875" style="231" bestFit="1" customWidth="1"/>
    <col min="15839" max="15839" width="2" style="231" customWidth="1"/>
    <col min="15840" max="15840" width="8.875" style="231" bestFit="1" customWidth="1"/>
    <col min="15841" max="15841" width="6.375" style="231" bestFit="1" customWidth="1"/>
    <col min="15842" max="15842" width="1.375" style="231" customWidth="1"/>
    <col min="15843" max="15843" width="8.5" style="231" bestFit="1" customWidth="1"/>
    <col min="15844" max="15844" width="6.375" style="231" bestFit="1" customWidth="1"/>
    <col min="15845" max="15845" width="1.75" style="231" customWidth="1"/>
    <col min="15846" max="15846" width="9.5" style="231" bestFit="1" customWidth="1"/>
    <col min="15847" max="15847" width="7" style="231" bestFit="1" customWidth="1"/>
    <col min="15848" max="15848" width="1.625" style="231" customWidth="1"/>
    <col min="15849" max="15849" width="7.25" style="231" bestFit="1" customWidth="1"/>
    <col min="15850" max="15850" width="2.625" style="231" customWidth="1"/>
    <col min="15851" max="15851" width="13.25" style="231" customWidth="1"/>
    <col min="15852" max="15852" width="6.375" style="231" bestFit="1" customWidth="1"/>
    <col min="15853" max="15853" width="1.75" style="231" customWidth="1"/>
    <col min="15854" max="15854" width="8.5" style="231"/>
    <col min="15855" max="15855" width="42.25" style="231" bestFit="1" customWidth="1"/>
    <col min="15856" max="15856" width="1.25" style="231" customWidth="1"/>
    <col min="15857" max="15857" width="11.625" style="231" customWidth="1"/>
    <col min="15858" max="15858" width="1.25" style="231" customWidth="1"/>
    <col min="15859" max="15859" width="9.625" style="231" customWidth="1"/>
    <col min="15860" max="15860" width="8.125" style="231" customWidth="1"/>
    <col min="15861" max="15861" width="1.25" style="231" customWidth="1"/>
    <col min="15862" max="15862" width="8.125" style="231" customWidth="1"/>
    <col min="15863" max="15863" width="1.625" style="231" customWidth="1"/>
    <col min="15864" max="15864" width="8" style="231" bestFit="1" customWidth="1"/>
    <col min="15865" max="15865" width="9.75" style="231" bestFit="1" customWidth="1"/>
    <col min="15866" max="16080" width="7" style="231" customWidth="1"/>
    <col min="16081" max="16081" width="20.75" style="231" customWidth="1"/>
    <col min="16082" max="16082" width="1.875" style="231" customWidth="1"/>
    <col min="16083" max="16083" width="14.25" style="231" customWidth="1"/>
    <col min="16084" max="16084" width="4.25" style="231" customWidth="1"/>
    <col min="16085" max="16085" width="8.875" style="231" bestFit="1" customWidth="1"/>
    <col min="16086" max="16086" width="6.375" style="231" bestFit="1" customWidth="1"/>
    <col min="16087" max="16087" width="2.125" style="231" customWidth="1"/>
    <col min="16088" max="16088" width="8.5" style="231" bestFit="1" customWidth="1"/>
    <col min="16089" max="16089" width="6.375" style="231" bestFit="1" customWidth="1"/>
    <col min="16090" max="16090" width="2.375" style="231" customWidth="1"/>
    <col min="16091" max="16091" width="9.5" style="231" bestFit="1" customWidth="1"/>
    <col min="16092" max="16092" width="7" style="231" bestFit="1" customWidth="1"/>
    <col min="16093" max="16093" width="1.75" style="231" customWidth="1"/>
    <col min="16094" max="16094" width="8.875" style="231" bestFit="1" customWidth="1"/>
    <col min="16095" max="16095" width="2" style="231" customWidth="1"/>
    <col min="16096" max="16096" width="8.875" style="231" bestFit="1" customWidth="1"/>
    <col min="16097" max="16097" width="6.375" style="231" bestFit="1" customWidth="1"/>
    <col min="16098" max="16098" width="1.375" style="231" customWidth="1"/>
    <col min="16099" max="16099" width="8.5" style="231" bestFit="1" customWidth="1"/>
    <col min="16100" max="16100" width="6.375" style="231" bestFit="1" customWidth="1"/>
    <col min="16101" max="16101" width="1.75" style="231" customWidth="1"/>
    <col min="16102" max="16102" width="9.5" style="231" bestFit="1" customWidth="1"/>
    <col min="16103" max="16103" width="7" style="231" bestFit="1" customWidth="1"/>
    <col min="16104" max="16104" width="1.625" style="231" customWidth="1"/>
    <col min="16105" max="16105" width="7.25" style="231" bestFit="1" customWidth="1"/>
    <col min="16106" max="16106" width="2.625" style="231" customWidth="1"/>
    <col min="16107" max="16107" width="13.25" style="231" customWidth="1"/>
    <col min="16108" max="16108" width="6.375" style="231" bestFit="1" customWidth="1"/>
    <col min="16109" max="16109" width="1.75" style="231" customWidth="1"/>
    <col min="16110" max="16110" width="8.5" style="231"/>
    <col min="16111" max="16111" width="42.25" style="231" bestFit="1" customWidth="1"/>
    <col min="16112" max="16112" width="1.25" style="231" customWidth="1"/>
    <col min="16113" max="16113" width="11.625" style="231" customWidth="1"/>
    <col min="16114" max="16114" width="1.25" style="231" customWidth="1"/>
    <col min="16115" max="16115" width="9.625" style="231" customWidth="1"/>
    <col min="16116" max="16116" width="8.125" style="231" customWidth="1"/>
    <col min="16117" max="16117" width="1.25" style="231" customWidth="1"/>
    <col min="16118" max="16118" width="8.125" style="231" customWidth="1"/>
    <col min="16119" max="16119" width="1.625" style="231" customWidth="1"/>
    <col min="16120" max="16120" width="8" style="231" bestFit="1" customWidth="1"/>
    <col min="16121" max="16121" width="9.75" style="231" bestFit="1" customWidth="1"/>
    <col min="16122" max="16336" width="7" style="231" customWidth="1"/>
    <col min="16337" max="16337" width="20.75" style="231" customWidth="1"/>
    <col min="16338" max="16338" width="1.875" style="231" customWidth="1"/>
    <col min="16339" max="16339" width="14.25" style="231" customWidth="1"/>
    <col min="16340" max="16340" width="4.25" style="231" customWidth="1"/>
    <col min="16341" max="16341" width="8.875" style="231" bestFit="1" customWidth="1"/>
    <col min="16342" max="16342" width="6.375" style="231" bestFit="1" customWidth="1"/>
    <col min="16343" max="16343" width="2.125" style="231" customWidth="1"/>
    <col min="16344" max="16344" width="8.5" style="231" bestFit="1" customWidth="1"/>
    <col min="16345" max="16345" width="6.375" style="231" bestFit="1" customWidth="1"/>
    <col min="16346" max="16346" width="2.375" style="231" customWidth="1"/>
    <col min="16347" max="16347" width="9.5" style="231" bestFit="1" customWidth="1"/>
    <col min="16348" max="16348" width="7" style="231" bestFit="1" customWidth="1"/>
    <col min="16349" max="16349" width="1.75" style="231" customWidth="1"/>
    <col min="16350" max="16350" width="8.875" style="231" bestFit="1" customWidth="1"/>
    <col min="16351" max="16351" width="2" style="231" customWidth="1"/>
    <col min="16352" max="16352" width="8.875" style="231" bestFit="1" customWidth="1"/>
    <col min="16353" max="16353" width="6.375" style="231" bestFit="1" customWidth="1"/>
    <col min="16354" max="16354" width="1.375" style="231" customWidth="1"/>
    <col min="16355" max="16355" width="8.5" style="231" bestFit="1" customWidth="1"/>
    <col min="16356" max="16356" width="6.375" style="231" bestFit="1" customWidth="1"/>
    <col min="16357" max="16357" width="1.75" style="231" customWidth="1"/>
    <col min="16358" max="16358" width="9.5" style="231" bestFit="1" customWidth="1"/>
    <col min="16359" max="16359" width="7" style="231" bestFit="1" customWidth="1"/>
    <col min="16360" max="16384" width="1.625" style="231" customWidth="1"/>
  </cols>
  <sheetData>
    <row r="1" spans="1:16">
      <c r="A1" s="230" t="s">
        <v>62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6" s="232" customFormat="1" ht="15.75" customHeight="1">
      <c r="A2" s="230" t="s">
        <v>393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6" ht="33" customHeight="1">
      <c r="C3" s="279" t="s">
        <v>387</v>
      </c>
      <c r="D3" s="279"/>
      <c r="E3" s="279"/>
      <c r="F3" s="279"/>
    </row>
    <row r="4" spans="1:16" s="232" customFormat="1">
      <c r="C4" s="233" t="s">
        <v>13</v>
      </c>
      <c r="D4" s="233"/>
      <c r="E4" s="230" t="s">
        <v>345</v>
      </c>
      <c r="F4" s="230"/>
      <c r="G4" s="233"/>
      <c r="H4" s="233" t="s">
        <v>13</v>
      </c>
      <c r="I4" s="233"/>
      <c r="J4" s="283" t="s">
        <v>391</v>
      </c>
      <c r="K4" s="283"/>
      <c r="L4" s="233"/>
    </row>
    <row r="5" spans="1:16" s="232" customFormat="1">
      <c r="C5" s="233" t="s">
        <v>346</v>
      </c>
      <c r="D5" s="233"/>
      <c r="E5" s="230" t="s">
        <v>15</v>
      </c>
      <c r="F5" s="230"/>
      <c r="G5" s="233"/>
      <c r="H5" s="233" t="s">
        <v>346</v>
      </c>
      <c r="I5" s="233"/>
      <c r="J5" s="279" t="s">
        <v>392</v>
      </c>
      <c r="K5" s="279"/>
      <c r="L5" s="233"/>
      <c r="M5" s="279" t="s">
        <v>388</v>
      </c>
      <c r="N5" s="279"/>
    </row>
    <row r="6" spans="1:16" s="232" customFormat="1">
      <c r="A6" s="234" t="s">
        <v>347</v>
      </c>
      <c r="C6" s="235" t="s">
        <v>14</v>
      </c>
      <c r="E6" s="235" t="s">
        <v>14</v>
      </c>
      <c r="F6" s="235" t="s">
        <v>42</v>
      </c>
      <c r="H6" s="235" t="s">
        <v>14</v>
      </c>
      <c r="J6" s="235" t="s">
        <v>14</v>
      </c>
      <c r="K6" s="235" t="s">
        <v>42</v>
      </c>
      <c r="M6" s="235" t="s">
        <v>14</v>
      </c>
      <c r="N6" s="235" t="s">
        <v>42</v>
      </c>
    </row>
    <row r="7" spans="1:16">
      <c r="A7" s="231" t="s">
        <v>348</v>
      </c>
      <c r="C7" s="236">
        <v>623014.36641879997</v>
      </c>
      <c r="E7" s="236">
        <v>45785.363888061358</v>
      </c>
      <c r="F7" s="237">
        <v>7.3490061154197719E-2</v>
      </c>
      <c r="H7" s="236">
        <f>RateSpread!K15+RateSpread!K16</f>
        <v>649980.89899999998</v>
      </c>
      <c r="J7" s="236">
        <f t="shared" ref="J7:J21" si="0">H7*F7</f>
        <v>47767.13601657041</v>
      </c>
      <c r="K7" s="237">
        <f t="shared" ref="K7:K22" si="1">J7/$H7</f>
        <v>7.3490061154197719E-2</v>
      </c>
      <c r="M7" s="236">
        <f t="shared" ref="M7:M22" si="2">$M$25*J7/$J$25</f>
        <v>11279.122350585623</v>
      </c>
      <c r="N7" s="237">
        <f t="shared" ref="N7:N22" si="3">M7/H7</f>
        <v>1.7353005862077837E-2</v>
      </c>
      <c r="O7" s="236">
        <f>$M$25*E7/$E$25</f>
        <v>11306.287748112949</v>
      </c>
      <c r="P7" s="280">
        <f>O7-M7</f>
        <v>27.165397527325695</v>
      </c>
    </row>
    <row r="8" spans="1:16">
      <c r="A8" s="231" t="s">
        <v>349</v>
      </c>
      <c r="C8" s="236">
        <v>460778.65638280002</v>
      </c>
      <c r="E8" s="236">
        <v>29080.853754948916</v>
      </c>
      <c r="F8" s="237">
        <v>6.3112414935273128E-2</v>
      </c>
      <c r="H8" s="236">
        <f>RateSpread!K23</f>
        <v>475082.79300000001</v>
      </c>
      <c r="J8" s="236">
        <f t="shared" si="0"/>
        <v>29983.622360424473</v>
      </c>
      <c r="K8" s="237">
        <f t="shared" si="1"/>
        <v>6.3112414935273128E-2</v>
      </c>
      <c r="M8" s="236">
        <f t="shared" si="2"/>
        <v>7079.9502193236976</v>
      </c>
      <c r="N8" s="237">
        <f t="shared" si="3"/>
        <v>1.4902560824432337E-2</v>
      </c>
      <c r="O8" s="236">
        <f t="shared" ref="O8:O25" si="4">$M$25*E8/$E$25</f>
        <v>7181.2577774439787</v>
      </c>
      <c r="P8" s="280">
        <f t="shared" ref="P8:P25" si="5">O8-M8</f>
        <v>101.3075581202811</v>
      </c>
    </row>
    <row r="9" spans="1:16">
      <c r="A9" s="231" t="s">
        <v>350</v>
      </c>
      <c r="C9" s="236">
        <v>138876.68594639999</v>
      </c>
      <c r="E9" s="236">
        <v>10139.722219154162</v>
      </c>
      <c r="F9" s="237">
        <v>7.3012414935273079E-2</v>
      </c>
      <c r="H9" s="236">
        <f>RateSpread!K24</f>
        <v>141558.614</v>
      </c>
      <c r="J9" s="236">
        <f t="shared" si="0"/>
        <v>10335.536263030157</v>
      </c>
      <c r="K9" s="237">
        <f t="shared" si="1"/>
        <v>7.3012414935273079E-2</v>
      </c>
      <c r="M9" s="236">
        <f t="shared" si="2"/>
        <v>2440.5017296660103</v>
      </c>
      <c r="N9" s="237">
        <f t="shared" si="3"/>
        <v>1.7240220575104038E-2</v>
      </c>
      <c r="O9" s="236">
        <f t="shared" si="4"/>
        <v>2503.9140755979588</v>
      </c>
      <c r="P9" s="280">
        <f t="shared" si="5"/>
        <v>63.412345931948494</v>
      </c>
    </row>
    <row r="10" spans="1:16">
      <c r="A10" s="231" t="s">
        <v>351</v>
      </c>
      <c r="C10" s="236">
        <v>13801.649793099999</v>
      </c>
      <c r="E10" s="236">
        <v>0</v>
      </c>
      <c r="F10" s="237">
        <v>0</v>
      </c>
      <c r="H10" s="236">
        <f>RateSpread!K41+RateSpread!K42+RateSpread!K43</f>
        <v>12112.784</v>
      </c>
      <c r="J10" s="236">
        <f t="shared" si="0"/>
        <v>0</v>
      </c>
      <c r="K10" s="237">
        <f t="shared" si="1"/>
        <v>0</v>
      </c>
      <c r="M10" s="236">
        <f t="shared" si="2"/>
        <v>0</v>
      </c>
      <c r="N10" s="237">
        <f t="shared" si="3"/>
        <v>0</v>
      </c>
      <c r="O10" s="236">
        <f t="shared" si="4"/>
        <v>0</v>
      </c>
      <c r="P10" s="280"/>
    </row>
    <row r="11" spans="1:16">
      <c r="A11" s="231" t="s">
        <v>352</v>
      </c>
      <c r="C11" s="236">
        <v>215589.84022069999</v>
      </c>
      <c r="E11" s="236">
        <v>18286.618830807558</v>
      </c>
      <c r="F11" s="237">
        <v>8.4821338575544608E-2</v>
      </c>
      <c r="H11" s="236">
        <f>RateSpread!K27</f>
        <v>229321.17300000001</v>
      </c>
      <c r="J11" s="236">
        <f t="shared" si="0"/>
        <v>19451.328857574041</v>
      </c>
      <c r="K11" s="237">
        <f t="shared" si="1"/>
        <v>8.4821338575544608E-2</v>
      </c>
      <c r="M11" s="236">
        <f t="shared" si="2"/>
        <v>4592.9887441848468</v>
      </c>
      <c r="N11" s="237">
        <f t="shared" si="3"/>
        <v>2.0028629210722057E-2</v>
      </c>
      <c r="O11" s="236">
        <f t="shared" si="4"/>
        <v>4515.7176198632887</v>
      </c>
      <c r="P11" s="280">
        <f t="shared" si="5"/>
        <v>-77.271124321558091</v>
      </c>
    </row>
    <row r="12" spans="1:16">
      <c r="A12" s="231" t="s">
        <v>353</v>
      </c>
      <c r="C12" s="236">
        <v>12157.883037200001</v>
      </c>
      <c r="E12" s="236">
        <v>865.79221157960365</v>
      </c>
      <c r="F12" s="237">
        <v>7.1212414935273E-2</v>
      </c>
      <c r="H12" s="236">
        <f>RateSpread!K30</f>
        <v>13174.523000000001</v>
      </c>
      <c r="J12" s="236">
        <f t="shared" si="0"/>
        <v>938.18959845029769</v>
      </c>
      <c r="K12" s="237">
        <f t="shared" si="1"/>
        <v>7.1212414935273E-2</v>
      </c>
      <c r="M12" s="236">
        <f t="shared" si="2"/>
        <v>221.53212755516316</v>
      </c>
      <c r="N12" s="237">
        <f t="shared" si="3"/>
        <v>1.6815191529527342E-2</v>
      </c>
      <c r="O12" s="236">
        <f t="shared" si="4"/>
        <v>213.79967402086245</v>
      </c>
      <c r="P12" s="280">
        <f t="shared" si="5"/>
        <v>-7.7324535343007028</v>
      </c>
    </row>
    <row r="13" spans="1:16">
      <c r="A13" s="231" t="s">
        <v>354</v>
      </c>
      <c r="C13" s="236">
        <v>1218.1327200000001</v>
      </c>
      <c r="E13" s="236">
        <v>0</v>
      </c>
      <c r="F13" s="237">
        <v>0</v>
      </c>
      <c r="H13" s="236">
        <f>RateSpread!K44</f>
        <v>1144.626</v>
      </c>
      <c r="J13" s="236">
        <f t="shared" si="0"/>
        <v>0</v>
      </c>
      <c r="K13" s="237">
        <f t="shared" si="1"/>
        <v>0</v>
      </c>
      <c r="M13" s="236">
        <f t="shared" si="2"/>
        <v>0</v>
      </c>
      <c r="N13" s="237">
        <f t="shared" si="3"/>
        <v>0</v>
      </c>
      <c r="O13" s="236">
        <f t="shared" si="4"/>
        <v>0</v>
      </c>
      <c r="P13" s="280"/>
    </row>
    <row r="14" spans="1:16">
      <c r="A14" s="231" t="s">
        <v>355</v>
      </c>
      <c r="C14" s="236">
        <v>521.27995859999999</v>
      </c>
      <c r="E14" s="236">
        <v>38.059908634745128</v>
      </c>
      <c r="F14" s="237">
        <v>7.3012414935272996E-2</v>
      </c>
      <c r="H14" s="236">
        <f>RateSpread!K45</f>
        <v>584.89400000000001</v>
      </c>
      <c r="J14" s="236">
        <f t="shared" si="0"/>
        <v>42.704523421151563</v>
      </c>
      <c r="K14" s="237">
        <f t="shared" si="1"/>
        <v>7.3012414935272996E-2</v>
      </c>
      <c r="M14" s="236">
        <f t="shared" si="2"/>
        <v>10.083701573054888</v>
      </c>
      <c r="N14" s="237">
        <f t="shared" si="3"/>
        <v>1.7240220575104017E-2</v>
      </c>
      <c r="O14" s="236">
        <f t="shared" si="4"/>
        <v>9.3985553930155188</v>
      </c>
      <c r="P14" s="280">
        <f t="shared" si="5"/>
        <v>-0.68514618003936967</v>
      </c>
    </row>
    <row r="15" spans="1:16">
      <c r="A15" s="231" t="s">
        <v>356</v>
      </c>
      <c r="C15" s="236">
        <v>281.23465000000004</v>
      </c>
      <c r="E15" s="236">
        <v>23.824066364976286</v>
      </c>
      <c r="F15" s="237">
        <v>8.4712414935273025E-2</v>
      </c>
      <c r="H15" s="236">
        <f>RateSpread!K31</f>
        <v>342.79199999999997</v>
      </c>
      <c r="J15" s="236">
        <f t="shared" si="0"/>
        <v>29.038738140492107</v>
      </c>
      <c r="K15" s="237">
        <f t="shared" si="1"/>
        <v>8.4712414935273025E-2</v>
      </c>
      <c r="M15" s="236">
        <f t="shared" si="2"/>
        <v>6.8568373092246331</v>
      </c>
      <c r="N15" s="237">
        <f t="shared" si="3"/>
        <v>2.0002909371352406E-2</v>
      </c>
      <c r="O15" s="236">
        <f t="shared" si="4"/>
        <v>5.8831409598733773</v>
      </c>
      <c r="P15" s="280">
        <f t="shared" si="5"/>
        <v>-0.97369634935125582</v>
      </c>
    </row>
    <row r="16" spans="1:16">
      <c r="A16" s="231" t="s">
        <v>357</v>
      </c>
      <c r="C16" s="236">
        <v>121797.0054729</v>
      </c>
      <c r="E16" s="236">
        <v>7686.903147279394</v>
      </c>
      <c r="F16" s="237">
        <v>6.3112414935273101E-2</v>
      </c>
      <c r="H16" s="236">
        <f>RateSpread!K32</f>
        <v>129897.91099999999</v>
      </c>
      <c r="J16" s="236">
        <f t="shared" si="0"/>
        <v>8198.1708582571755</v>
      </c>
      <c r="K16" s="237">
        <f t="shared" si="1"/>
        <v>6.3112414935273101E-2</v>
      </c>
      <c r="M16" s="236">
        <f t="shared" si="2"/>
        <v>1935.8115196441972</v>
      </c>
      <c r="N16" s="237">
        <f t="shared" si="3"/>
        <v>1.490256082443233E-2</v>
      </c>
      <c r="O16" s="236">
        <f t="shared" si="4"/>
        <v>1898.2122559405484</v>
      </c>
      <c r="P16" s="280">
        <f t="shared" si="5"/>
        <v>-37.59926370364883</v>
      </c>
    </row>
    <row r="17" spans="1:16">
      <c r="A17" s="231" t="s">
        <v>358</v>
      </c>
      <c r="C17" s="236">
        <v>793.09077920000004</v>
      </c>
      <c r="E17" s="236">
        <v>57.905473052289416</v>
      </c>
      <c r="F17" s="237">
        <v>7.3012414935273037E-2</v>
      </c>
      <c r="H17" s="236">
        <f>RateSpread!K33</f>
        <v>4870.0309999999999</v>
      </c>
      <c r="J17" s="236">
        <f t="shared" si="0"/>
        <v>355.57272411964266</v>
      </c>
      <c r="K17" s="237">
        <f t="shared" si="1"/>
        <v>7.3012414935273037E-2</v>
      </c>
      <c r="M17" s="236">
        <f t="shared" si="2"/>
        <v>83.96040864759442</v>
      </c>
      <c r="N17" s="237">
        <f t="shared" si="3"/>
        <v>1.7240220575104024E-2</v>
      </c>
      <c r="O17" s="236">
        <f t="shared" si="4"/>
        <v>14.299240738163004</v>
      </c>
      <c r="P17" s="280">
        <f t="shared" si="5"/>
        <v>-69.661167909431413</v>
      </c>
    </row>
    <row r="18" spans="1:16">
      <c r="A18" s="231" t="s">
        <v>359</v>
      </c>
      <c r="C18" s="236">
        <v>0.629</v>
      </c>
      <c r="E18" s="236">
        <v>0</v>
      </c>
      <c r="F18" s="237">
        <v>0</v>
      </c>
      <c r="H18" s="236">
        <f>RateSpread!K47</f>
        <v>0.60099999999999998</v>
      </c>
      <c r="J18" s="236">
        <f t="shared" si="0"/>
        <v>0</v>
      </c>
      <c r="K18" s="237">
        <f t="shared" si="1"/>
        <v>0</v>
      </c>
      <c r="M18" s="236">
        <f t="shared" si="2"/>
        <v>0</v>
      </c>
      <c r="N18" s="237">
        <f t="shared" si="3"/>
        <v>0</v>
      </c>
      <c r="O18" s="236"/>
      <c r="P18" s="280"/>
    </row>
    <row r="19" spans="1:16">
      <c r="A19" s="231" t="s">
        <v>360</v>
      </c>
      <c r="C19" s="236">
        <v>17.277000000000001</v>
      </c>
      <c r="E19" s="236">
        <v>0</v>
      </c>
      <c r="F19" s="237">
        <v>0</v>
      </c>
      <c r="H19" s="236">
        <f>RateSpread!K48</f>
        <v>17.277000000000001</v>
      </c>
      <c r="J19" s="236">
        <f t="shared" si="0"/>
        <v>0</v>
      </c>
      <c r="K19" s="237">
        <f t="shared" si="1"/>
        <v>0</v>
      </c>
      <c r="M19" s="236">
        <f t="shared" si="2"/>
        <v>0</v>
      </c>
      <c r="N19" s="237">
        <f t="shared" si="3"/>
        <v>0</v>
      </c>
      <c r="O19" s="236"/>
      <c r="P19" s="280"/>
    </row>
    <row r="20" spans="1:16">
      <c r="A20" s="231" t="s">
        <v>361</v>
      </c>
      <c r="C20" s="236">
        <v>22942.658742756612</v>
      </c>
      <c r="E20" s="236">
        <v>0</v>
      </c>
      <c r="F20" s="237">
        <v>0</v>
      </c>
      <c r="H20" s="236">
        <f>RateSpread!K34</f>
        <v>24224.835012471453</v>
      </c>
      <c r="J20" s="236">
        <f t="shared" si="0"/>
        <v>0</v>
      </c>
      <c r="K20" s="237">
        <f t="shared" si="1"/>
        <v>0</v>
      </c>
      <c r="M20" s="236">
        <f t="shared" si="2"/>
        <v>0</v>
      </c>
      <c r="N20" s="237">
        <f t="shared" si="3"/>
        <v>0</v>
      </c>
      <c r="O20" s="236"/>
      <c r="P20" s="280"/>
    </row>
    <row r="21" spans="1:16">
      <c r="A21" s="231" t="s">
        <v>362</v>
      </c>
      <c r="C21" s="236">
        <v>30307.371080770277</v>
      </c>
      <c r="E21" s="236">
        <v>0</v>
      </c>
      <c r="F21" s="237">
        <v>0</v>
      </c>
      <c r="H21" s="236">
        <f>RateSpread!K35</f>
        <v>26946.217696695003</v>
      </c>
      <c r="J21" s="236">
        <f t="shared" si="0"/>
        <v>0</v>
      </c>
      <c r="K21" s="237">
        <f t="shared" si="1"/>
        <v>0</v>
      </c>
      <c r="M21" s="236">
        <f t="shared" si="2"/>
        <v>0</v>
      </c>
      <c r="N21" s="237">
        <f t="shared" si="3"/>
        <v>0</v>
      </c>
      <c r="O21" s="236"/>
      <c r="P21" s="280"/>
    </row>
    <row r="22" spans="1:16" s="238" customFormat="1">
      <c r="A22" s="231" t="s">
        <v>363</v>
      </c>
      <c r="B22" s="231"/>
      <c r="C22" s="236">
        <v>46004.667615563194</v>
      </c>
      <c r="D22" s="231"/>
      <c r="E22" s="236">
        <v>4267.0884459931249</v>
      </c>
      <c r="F22" s="237">
        <v>9.2753380627612361E-2</v>
      </c>
      <c r="G22" s="231"/>
      <c r="H22" s="236">
        <f>RateSpread!K36</f>
        <v>59055.879000000001</v>
      </c>
      <c r="I22" s="231"/>
      <c r="J22" s="236">
        <f>H22*(E22+E23)/(C22+C23)</f>
        <v>5256.911762317859</v>
      </c>
      <c r="K22" s="237">
        <f t="shared" si="1"/>
        <v>8.9015892258886856E-2</v>
      </c>
      <c r="L22" s="231"/>
      <c r="M22" s="236">
        <f t="shared" si="2"/>
        <v>1241.300105010419</v>
      </c>
      <c r="N22" s="237">
        <f t="shared" si="3"/>
        <v>2.1019077626639321E-2</v>
      </c>
      <c r="O22" s="236">
        <f t="shared" si="4"/>
        <v>1053.7194797664667</v>
      </c>
      <c r="P22" s="280">
        <f t="shared" si="5"/>
        <v>-187.58062524395223</v>
      </c>
    </row>
    <row r="23" spans="1:16">
      <c r="A23" s="231" t="s">
        <v>364</v>
      </c>
      <c r="C23" s="236">
        <v>10557.777273195708</v>
      </c>
      <c r="E23" s="236">
        <v>767.86805412386332</v>
      </c>
      <c r="F23" s="237">
        <v>7.273008648073509E-2</v>
      </c>
      <c r="H23" s="236"/>
      <c r="J23" s="236"/>
      <c r="K23" s="237"/>
      <c r="M23" s="236"/>
      <c r="N23" s="237"/>
      <c r="O23" s="236">
        <f t="shared" si="4"/>
        <v>189.61817566271978</v>
      </c>
      <c r="P23" s="280">
        <f t="shared" si="5"/>
        <v>189.61817566271978</v>
      </c>
    </row>
    <row r="24" spans="1:16">
      <c r="A24" s="239" t="s">
        <v>20</v>
      </c>
      <c r="B24" s="239"/>
      <c r="C24" s="240">
        <v>3577.6234300000001</v>
      </c>
      <c r="D24" s="239"/>
      <c r="E24" s="240">
        <v>0</v>
      </c>
      <c r="F24" s="241">
        <v>0</v>
      </c>
      <c r="G24" s="239"/>
      <c r="H24" s="240">
        <f>RateSpread!K17+RateSpread!K37+RateSpread!K49</f>
        <v>4531.6477399999994</v>
      </c>
      <c r="I24" s="239"/>
      <c r="J24" s="240"/>
      <c r="K24" s="241"/>
      <c r="L24" s="239"/>
      <c r="M24" s="240"/>
      <c r="N24" s="241"/>
      <c r="O24" s="236"/>
      <c r="P24" s="280"/>
    </row>
    <row r="25" spans="1:16" ht="16.5" thickBot="1">
      <c r="A25" s="242" t="s">
        <v>365</v>
      </c>
      <c r="B25" s="243"/>
      <c r="C25" s="244">
        <v>1702237.829521986</v>
      </c>
      <c r="D25" s="243"/>
      <c r="E25" s="244">
        <v>117000.00000000001</v>
      </c>
      <c r="F25" s="237">
        <v>6.8733051263967837E-2</v>
      </c>
      <c r="G25" s="243"/>
      <c r="H25" s="244">
        <f>SUM(H7:H24)</f>
        <v>1772847.4974491664</v>
      </c>
      <c r="I25" s="243"/>
      <c r="J25" s="244">
        <f>SUM(J7:J24)</f>
        <v>122358.21170230569</v>
      </c>
      <c r="K25" s="237">
        <f>J25/$H25</f>
        <v>6.9017900230199644E-2</v>
      </c>
      <c r="L25" s="243"/>
      <c r="M25" s="244">
        <f>EBARev!E26/1000</f>
        <v>28892.10774349983</v>
      </c>
      <c r="N25" s="245">
        <f>M25/H25</f>
        <v>1.6297006812526618E-2</v>
      </c>
      <c r="O25" s="236">
        <f t="shared" si="4"/>
        <v>28892.10774349983</v>
      </c>
      <c r="P25" s="280">
        <f t="shared" si="5"/>
        <v>0</v>
      </c>
    </row>
    <row r="26" spans="1:16" ht="17.25" thickTop="1" thickBot="1">
      <c r="A26" s="246" t="s">
        <v>366</v>
      </c>
      <c r="B26" s="247"/>
      <c r="C26" s="248">
        <v>1645410.1762684591</v>
      </c>
      <c r="D26" s="247"/>
      <c r="E26" s="248">
        <v>117000.00000000001</v>
      </c>
      <c r="F26" s="249">
        <v>7.1106889751550148E-2</v>
      </c>
      <c r="G26" s="247"/>
      <c r="H26" s="248">
        <f>+H25-H20-H21-H24</f>
        <v>1717144.797</v>
      </c>
      <c r="I26" s="247"/>
      <c r="J26" s="248">
        <f>+J25-J20-J21-J24</f>
        <v>122358.21170230569</v>
      </c>
      <c r="K26" s="249">
        <f>J26/$H26</f>
        <v>7.1256781557429538E-2</v>
      </c>
      <c r="L26" s="247"/>
      <c r="M26" s="248">
        <f>+M25-M20-M21-M24</f>
        <v>28892.10774349983</v>
      </c>
      <c r="N26" s="249">
        <f>M26/H26</f>
        <v>1.6825667697899928E-2</v>
      </c>
    </row>
    <row r="27" spans="1:16" ht="16.5" thickTop="1"/>
    <row r="28" spans="1:16">
      <c r="A28" s="250" t="s">
        <v>367</v>
      </c>
    </row>
    <row r="30" spans="1:16">
      <c r="J30" s="280"/>
    </row>
    <row r="31" spans="1:16">
      <c r="C31" s="236"/>
      <c r="H31" s="236"/>
    </row>
    <row r="32" spans="1:16">
      <c r="C32" s="236"/>
      <c r="H32" s="236"/>
    </row>
    <row r="33" spans="3:8">
      <c r="C33" s="236"/>
      <c r="H33" s="236"/>
    </row>
    <row r="34" spans="3:8">
      <c r="C34" s="236"/>
      <c r="H34" s="236"/>
    </row>
    <row r="35" spans="3:8">
      <c r="C35" s="236"/>
      <c r="H35" s="236"/>
    </row>
    <row r="36" spans="3:8">
      <c r="C36" s="236"/>
      <c r="H36" s="236"/>
    </row>
    <row r="37" spans="3:8">
      <c r="C37" s="236"/>
      <c r="H37" s="236"/>
    </row>
    <row r="38" spans="3:8">
      <c r="C38" s="236"/>
      <c r="H38" s="236"/>
    </row>
    <row r="39" spans="3:8">
      <c r="C39" s="236"/>
      <c r="H39" s="236"/>
    </row>
    <row r="40" spans="3:8">
      <c r="C40" s="236"/>
      <c r="H40" s="236"/>
    </row>
    <row r="41" spans="3:8">
      <c r="C41" s="236"/>
      <c r="H41" s="236"/>
    </row>
    <row r="42" spans="3:8">
      <c r="C42" s="236"/>
      <c r="H42" s="236"/>
    </row>
    <row r="43" spans="3:8">
      <c r="C43" s="236"/>
      <c r="H43" s="236"/>
    </row>
    <row r="44" spans="3:8">
      <c r="C44" s="236"/>
      <c r="H44" s="236"/>
    </row>
    <row r="45" spans="3:8">
      <c r="C45" s="236"/>
      <c r="H45" s="236"/>
    </row>
    <row r="46" spans="3:8">
      <c r="C46" s="236"/>
      <c r="H46" s="236"/>
    </row>
    <row r="47" spans="3:8">
      <c r="C47" s="236"/>
      <c r="H47" s="236"/>
    </row>
    <row r="48" spans="3:8">
      <c r="C48" s="236"/>
      <c r="H48" s="236"/>
    </row>
    <row r="49" spans="3:8">
      <c r="C49" s="236"/>
      <c r="H49" s="236"/>
    </row>
    <row r="50" spans="3:8">
      <c r="C50" s="236"/>
      <c r="H50" s="236"/>
    </row>
  </sheetData>
  <printOptions horizontalCentered="1"/>
  <pageMargins left="0.5" right="0.5" top="1" bottom="1" header="0.5" footer="0.5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:F32"/>
  <sheetViews>
    <sheetView zoomScale="90" zoomScaleNormal="90" workbookViewId="0">
      <selection activeCell="E26" sqref="E26"/>
    </sheetView>
  </sheetViews>
  <sheetFormatPr defaultRowHeight="12.75"/>
  <cols>
    <col min="1" max="1" width="3.375" style="277" customWidth="1"/>
    <col min="2" max="3" width="1.625" style="277" customWidth="1"/>
    <col min="4" max="4" width="42.625" style="277" customWidth="1"/>
    <col min="5" max="5" width="13" style="277" customWidth="1"/>
    <col min="6" max="6" width="1.625" style="277" customWidth="1"/>
    <col min="7" max="7" width="12.25" style="277" bestFit="1" customWidth="1"/>
    <col min="8" max="16384" width="9" style="277"/>
  </cols>
  <sheetData>
    <row r="4" spans="2:6" ht="15.75">
      <c r="B4" s="286"/>
      <c r="C4" s="287"/>
      <c r="D4" s="287"/>
      <c r="E4" s="287"/>
      <c r="F4" s="288"/>
    </row>
    <row r="5" spans="2:6" ht="15.75">
      <c r="B5" s="289"/>
      <c r="C5" s="290" t="s">
        <v>371</v>
      </c>
      <c r="D5" s="291"/>
      <c r="E5" s="291"/>
      <c r="F5" s="292"/>
    </row>
    <row r="6" spans="2:6" ht="15.75">
      <c r="B6" s="289"/>
      <c r="C6" s="293"/>
      <c r="D6" s="291"/>
      <c r="E6" s="291"/>
      <c r="F6" s="292"/>
    </row>
    <row r="7" spans="2:6" ht="15.75">
      <c r="B7" s="289"/>
      <c r="C7" s="291"/>
      <c r="D7" s="294" t="s">
        <v>394</v>
      </c>
      <c r="E7" s="295">
        <v>23.410569391089869</v>
      </c>
      <c r="F7" s="292"/>
    </row>
    <row r="8" spans="2:6" ht="15.75">
      <c r="B8" s="289"/>
      <c r="C8" s="291"/>
      <c r="D8" s="294" t="s">
        <v>395</v>
      </c>
      <c r="E8" s="296">
        <v>21.392811419225417</v>
      </c>
      <c r="F8" s="292"/>
    </row>
    <row r="9" spans="2:6" ht="15.75">
      <c r="B9" s="289"/>
      <c r="C9" s="291"/>
      <c r="D9" s="291" t="s">
        <v>372</v>
      </c>
      <c r="E9" s="297">
        <v>2.0177579718644516</v>
      </c>
      <c r="F9" s="292"/>
    </row>
    <row r="10" spans="2:6" ht="15.75">
      <c r="B10" s="289"/>
      <c r="C10" s="291"/>
      <c r="D10" s="294" t="s">
        <v>373</v>
      </c>
      <c r="E10" s="298">
        <v>6103727.6257428927</v>
      </c>
      <c r="F10" s="292"/>
    </row>
    <row r="11" spans="2:6" ht="15.75">
      <c r="B11" s="289"/>
      <c r="C11" s="291"/>
      <c r="D11" s="294" t="s">
        <v>374</v>
      </c>
      <c r="E11" s="299">
        <v>12317534.539988147</v>
      </c>
      <c r="F11" s="292"/>
    </row>
    <row r="12" spans="2:6" ht="15.75">
      <c r="B12" s="289"/>
      <c r="C12" s="291"/>
      <c r="D12" s="293"/>
      <c r="E12" s="300"/>
      <c r="F12" s="292"/>
    </row>
    <row r="13" spans="2:6" ht="16.5" thickBot="1">
      <c r="B13" s="289"/>
      <c r="C13" s="291"/>
      <c r="D13" s="293" t="s">
        <v>375</v>
      </c>
      <c r="E13" s="301">
        <v>8622274.1779917032</v>
      </c>
      <c r="F13" s="292"/>
    </row>
    <row r="14" spans="2:6" ht="16.5" thickTop="1">
      <c r="B14" s="289"/>
      <c r="C14" s="291"/>
      <c r="D14" s="291"/>
      <c r="E14" s="291"/>
      <c r="F14" s="292"/>
    </row>
    <row r="15" spans="2:6" ht="15.75">
      <c r="B15" s="289"/>
      <c r="C15" s="290" t="s">
        <v>376</v>
      </c>
      <c r="D15" s="291"/>
      <c r="E15" s="291"/>
      <c r="F15" s="292"/>
    </row>
    <row r="16" spans="2:6" ht="15.75">
      <c r="B16" s="289"/>
      <c r="C16" s="293"/>
      <c r="D16" s="291"/>
      <c r="E16" s="291"/>
      <c r="F16" s="292"/>
    </row>
    <row r="17" spans="2:6" ht="15.75">
      <c r="B17" s="289"/>
      <c r="C17" s="291"/>
      <c r="D17" s="293" t="s">
        <v>396</v>
      </c>
      <c r="E17" s="302">
        <v>0</v>
      </c>
      <c r="F17" s="292"/>
    </row>
    <row r="18" spans="2:6" ht="15.75">
      <c r="B18" s="289"/>
      <c r="C18" s="291"/>
      <c r="D18" s="303" t="s">
        <v>371</v>
      </c>
      <c r="E18" s="304">
        <v>8622274.1779917032</v>
      </c>
      <c r="F18" s="292"/>
    </row>
    <row r="19" spans="2:6" ht="15.75">
      <c r="B19" s="289"/>
      <c r="C19" s="291"/>
      <c r="D19" s="303" t="s">
        <v>377</v>
      </c>
      <c r="E19" s="304">
        <v>50826.894910468589</v>
      </c>
      <c r="F19" s="292"/>
    </row>
    <row r="20" spans="2:6" ht="15.75">
      <c r="B20" s="289"/>
      <c r="C20" s="291"/>
      <c r="D20" s="303" t="s">
        <v>378</v>
      </c>
      <c r="E20" s="305">
        <v>0</v>
      </c>
      <c r="F20" s="292"/>
    </row>
    <row r="21" spans="2:6" ht="15.75">
      <c r="B21" s="289"/>
      <c r="C21" s="291"/>
      <c r="D21" s="293" t="s">
        <v>379</v>
      </c>
      <c r="E21" s="306">
        <v>8673101.0729021709</v>
      </c>
      <c r="F21" s="292"/>
    </row>
    <row r="22" spans="2:6" ht="15.75">
      <c r="B22" s="289"/>
      <c r="C22" s="291"/>
      <c r="D22" s="291"/>
      <c r="E22" s="291"/>
      <c r="F22" s="292"/>
    </row>
    <row r="23" spans="2:6" ht="15.75">
      <c r="B23" s="289"/>
      <c r="C23" s="291"/>
      <c r="D23" s="307" t="s">
        <v>380</v>
      </c>
      <c r="E23" s="304">
        <v>219006.67059765756</v>
      </c>
      <c r="F23" s="292"/>
    </row>
    <row r="24" spans="2:6" ht="15.75">
      <c r="B24" s="289"/>
      <c r="C24" s="291"/>
      <c r="D24" s="308" t="s">
        <v>381</v>
      </c>
      <c r="E24" s="304">
        <v>20000000</v>
      </c>
      <c r="F24" s="292"/>
    </row>
    <row r="25" spans="2:6" ht="15.75">
      <c r="B25" s="289"/>
      <c r="C25" s="291"/>
      <c r="D25" s="291"/>
      <c r="E25" s="291"/>
      <c r="F25" s="292"/>
    </row>
    <row r="26" spans="2:6" ht="16.5" thickBot="1">
      <c r="B26" s="289"/>
      <c r="C26" s="291"/>
      <c r="D26" s="293" t="s">
        <v>382</v>
      </c>
      <c r="E26" s="301">
        <v>28892107.74349983</v>
      </c>
      <c r="F26" s="292"/>
    </row>
    <row r="27" spans="2:6" ht="16.5" thickTop="1">
      <c r="B27" s="309"/>
      <c r="C27" s="310"/>
      <c r="D27" s="310"/>
      <c r="E27" s="310"/>
      <c r="F27" s="311"/>
    </row>
    <row r="32" spans="2:6">
      <c r="D32" s="2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Exhibit-RMP(WRG-1R)</vt:lpstr>
      <vt:lpstr>Exhibit-RMP(WRG-2R)</vt:lpstr>
      <vt:lpstr>RateSpread</vt:lpstr>
      <vt:lpstr>Stipulation</vt:lpstr>
      <vt:lpstr>EBARev</vt:lpstr>
      <vt:lpstr>'Exhibit-RMP(WRG-1R)'!Print_Area</vt:lpstr>
      <vt:lpstr>'Exhibit-RMP(WRG-2R)'!Print_Area</vt:lpstr>
      <vt:lpstr>RateSpread!Print_Area</vt:lpstr>
      <vt:lpstr>Stipulation!Print_Area</vt:lpstr>
      <vt:lpstr>'Exhibit-RMP(WRG-1R)'!Print_Titles</vt:lpstr>
      <vt:lpstr>'Exhibit-RMP(WRG-2R)'!Print_Titles</vt:lpstr>
      <vt:lpstr>RateSpread!Print_Titles</vt:lpstr>
      <vt:lpstr>'Exhibit-RMP(WRG-2R)'!Print_Titles_MI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2012-05-10T21:05:30Z</dcterms:created>
  <dcterms:modified xsi:type="dcterms:W3CDTF">2012-05-14T18:05:11Z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