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020" windowHeight="12405"/>
  </bookViews>
  <sheets>
    <sheet name="Workpaper Index" sheetId="1" r:id="rId1"/>
    <sheet name="(Exh.1) A1 Scalar Method" sheetId="2" r:id="rId2"/>
    <sheet name="(Exh.2)09-035-15 Comm Ord Methd" sheetId="3" r:id="rId3"/>
    <sheet name="(Exh.3) A2 Method" sheetId="4" r:id="rId4"/>
    <sheet name="(Exh.4) A3 Method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1">#REF!</definedName>
    <definedName name="ActualROR" localSheetId="3">#REF!</definedName>
    <definedName name="ActualROR" localSheetId="4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'[4](6.4) Base UTGRC12 Stlmt NPC'!$F$7:$Q$7</definedName>
    <definedName name="NetToGross">[1]Inputs!$H$21</definedName>
    <definedName name="OH">[1]Inputs!$D$24</definedName>
    <definedName name="Page110" localSheetId="1">#REF!</definedName>
    <definedName name="Page110" localSheetId="3">#REF!</definedName>
    <definedName name="Page110" localSheetId="4">#REF!</definedName>
    <definedName name="Page110">#REF!</definedName>
    <definedName name="Page111" localSheetId="1">#REF!</definedName>
    <definedName name="Page111" localSheetId="3">#REF!</definedName>
    <definedName name="Page111" localSheetId="4">#REF!</definedName>
    <definedName name="Page111">#REF!</definedName>
    <definedName name="Page112" localSheetId="1">#REF!</definedName>
    <definedName name="Page112" localSheetId="3">#REF!</definedName>
    <definedName name="Page112" localSheetId="4">#REF!</definedName>
    <definedName name="Page112">#REF!</definedName>
    <definedName name="Page113" localSheetId="1">#REF!</definedName>
    <definedName name="Page113" localSheetId="3">#REF!</definedName>
    <definedName name="Page113" localSheetId="4">#REF!</definedName>
    <definedName name="Page113">#REF!</definedName>
    <definedName name="Page114" localSheetId="1">#REF!</definedName>
    <definedName name="Page114" localSheetId="3">#REF!</definedName>
    <definedName name="Page114" localSheetId="4">#REF!</definedName>
    <definedName name="Page114">#REF!</definedName>
    <definedName name="Page115" localSheetId="1">#REF!</definedName>
    <definedName name="Page115" localSheetId="3">#REF!</definedName>
    <definedName name="Page115" localSheetId="4">#REF!</definedName>
    <definedName name="Page115">#REF!</definedName>
    <definedName name="Page116" localSheetId="1">#REF!</definedName>
    <definedName name="Page116" localSheetId="3">#REF!</definedName>
    <definedName name="Page116" localSheetId="4">#REF!</definedName>
    <definedName name="Page116">#REF!</definedName>
    <definedName name="Page117" localSheetId="1">#REF!</definedName>
    <definedName name="Page117" localSheetId="3">#REF!</definedName>
    <definedName name="Page117" localSheetId="4">#REF!</definedName>
    <definedName name="Page117">#REF!</definedName>
    <definedName name="Page118" localSheetId="1">#REF!</definedName>
    <definedName name="Page118" localSheetId="3">#REF!</definedName>
    <definedName name="Page118" localSheetId="4">#REF!</definedName>
    <definedName name="Page118">#REF!</definedName>
    <definedName name="Page119" localSheetId="1">#REF!</definedName>
    <definedName name="Page119" localSheetId="3">#REF!</definedName>
    <definedName name="Page119" localSheetId="4">#REF!</definedName>
    <definedName name="Page119">#REF!</definedName>
    <definedName name="Page120" localSheetId="1">#REF!</definedName>
    <definedName name="Page120" localSheetId="3">#REF!</definedName>
    <definedName name="Page120" localSheetId="4">#REF!</definedName>
    <definedName name="Page120">#REF!</definedName>
    <definedName name="Page121" localSheetId="1">#REF!</definedName>
    <definedName name="Page121" localSheetId="3">#REF!</definedName>
    <definedName name="Page121" localSheetId="4">#REF!</definedName>
    <definedName name="Page121">#REF!</definedName>
    <definedName name="Page122" localSheetId="1">#REF!</definedName>
    <definedName name="Page122" localSheetId="3">#REF!</definedName>
    <definedName name="Page122" localSheetId="4">#REF!</definedName>
    <definedName name="Page122">#REF!</definedName>
    <definedName name="Page123" localSheetId="1">#REF!</definedName>
    <definedName name="Page123" localSheetId="3">#REF!</definedName>
    <definedName name="Page123" localSheetId="4">#REF!</definedName>
    <definedName name="Page123">#REF!</definedName>
    <definedName name="page63" localSheetId="1">'[1]Energy Factor'!#REF!</definedName>
    <definedName name="page63" localSheetId="3">'[1]Energy Factor'!#REF!</definedName>
    <definedName name="page63" localSheetId="4">'[1]Energy Factor'!#REF!</definedName>
    <definedName name="page63">'[1]Energy Factor'!#REF!</definedName>
    <definedName name="page64" localSheetId="1">'[1]Energy Factor'!#REF!</definedName>
    <definedName name="page64" localSheetId="3">'[1]Energy Factor'!#REF!</definedName>
    <definedName name="page64" localSheetId="4">'[1]Energy Factor'!#REF!</definedName>
    <definedName name="page64">'[1]Energy Factor'!#REF!</definedName>
    <definedName name="PSATable">[2]Hermiston!$A$41:$E$56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OnSave="0"/>
</workbook>
</file>

<file path=xl/calcChain.xml><?xml version="1.0" encoding="utf-8"?>
<calcChain xmlns="http://schemas.openxmlformats.org/spreadsheetml/2006/main">
  <c r="Q44" i="5"/>
  <c r="P44"/>
  <c r="O44"/>
  <c r="S41"/>
  <c r="G40"/>
  <c r="H40" s="1"/>
  <c r="I40" s="1"/>
  <c r="J40" s="1"/>
  <c r="K40" s="1"/>
  <c r="L40" s="1"/>
  <c r="M40" s="1"/>
  <c r="N40" s="1"/>
  <c r="Q36"/>
  <c r="P36"/>
  <c r="O36"/>
  <c r="F35"/>
  <c r="F24"/>
  <c r="Q22"/>
  <c r="P22"/>
  <c r="O22"/>
  <c r="F21"/>
  <c r="F20"/>
  <c r="F22" s="1"/>
  <c r="F14"/>
  <c r="F11"/>
  <c r="F10"/>
  <c r="F12" s="1"/>
  <c r="G6"/>
  <c r="A3"/>
  <c r="A2"/>
  <c r="A1"/>
  <c r="Q44" i="4"/>
  <c r="P44"/>
  <c r="O44"/>
  <c r="S41"/>
  <c r="J40"/>
  <c r="K40" s="1"/>
  <c r="L40" s="1"/>
  <c r="M40" s="1"/>
  <c r="N40" s="1"/>
  <c r="H40"/>
  <c r="I40" s="1"/>
  <c r="G40"/>
  <c r="Q36"/>
  <c r="P36"/>
  <c r="O36"/>
  <c r="F35"/>
  <c r="F24"/>
  <c r="Q22"/>
  <c r="P22"/>
  <c r="O22"/>
  <c r="F21"/>
  <c r="F20"/>
  <c r="Q14"/>
  <c r="P14"/>
  <c r="O14"/>
  <c r="N14"/>
  <c r="M14"/>
  <c r="L14"/>
  <c r="F14"/>
  <c r="G11"/>
  <c r="F11"/>
  <c r="F10"/>
  <c r="F12" s="1"/>
  <c r="H6"/>
  <c r="H35" s="1"/>
  <c r="G6"/>
  <c r="G24" s="1"/>
  <c r="A3"/>
  <c r="A2"/>
  <c r="A1"/>
  <c r="Q44" i="3"/>
  <c r="P44"/>
  <c r="O44"/>
  <c r="S41"/>
  <c r="G40"/>
  <c r="H40" s="1"/>
  <c r="I40" s="1"/>
  <c r="J40" s="1"/>
  <c r="K40" s="1"/>
  <c r="L40" s="1"/>
  <c r="M40" s="1"/>
  <c r="N40" s="1"/>
  <c r="Q36"/>
  <c r="P36"/>
  <c r="O36"/>
  <c r="F35"/>
  <c r="F24"/>
  <c r="Q22"/>
  <c r="P22"/>
  <c r="O22"/>
  <c r="F21"/>
  <c r="F20"/>
  <c r="F22" s="1"/>
  <c r="F14"/>
  <c r="F11"/>
  <c r="Q10"/>
  <c r="P10"/>
  <c r="O10"/>
  <c r="N10"/>
  <c r="M10"/>
  <c r="L10"/>
  <c r="K10"/>
  <c r="J10"/>
  <c r="I10"/>
  <c r="H10"/>
  <c r="G10"/>
  <c r="F10"/>
  <c r="F12" s="1"/>
  <c r="H6"/>
  <c r="H35" s="1"/>
  <c r="G6"/>
  <c r="G35" s="1"/>
  <c r="A3"/>
  <c r="A2"/>
  <c r="A1"/>
  <c r="S50" i="2"/>
  <c r="H49"/>
  <c r="I49" s="1"/>
  <c r="J49" s="1"/>
  <c r="K49" s="1"/>
  <c r="L49" s="1"/>
  <c r="M49" s="1"/>
  <c r="N49" s="1"/>
  <c r="G49"/>
  <c r="F44"/>
  <c r="N33"/>
  <c r="M33"/>
  <c r="L33"/>
  <c r="K33"/>
  <c r="J33"/>
  <c r="I33"/>
  <c r="H33"/>
  <c r="G33"/>
  <c r="S33" s="1"/>
  <c r="F33"/>
  <c r="F30"/>
  <c r="F29"/>
  <c r="F24"/>
  <c r="N21"/>
  <c r="M21"/>
  <c r="L21"/>
  <c r="K21"/>
  <c r="J21"/>
  <c r="I21"/>
  <c r="H21"/>
  <c r="G21"/>
  <c r="F21"/>
  <c r="S21" s="1"/>
  <c r="F18"/>
  <c r="H14"/>
  <c r="S14" s="1"/>
  <c r="G14"/>
  <c r="F11"/>
  <c r="Q10"/>
  <c r="P10"/>
  <c r="O10"/>
  <c r="N10"/>
  <c r="M10"/>
  <c r="L10"/>
  <c r="K10"/>
  <c r="J10"/>
  <c r="I10"/>
  <c r="H10"/>
  <c r="G10"/>
  <c r="F10"/>
  <c r="S10" s="1"/>
  <c r="G6"/>
  <c r="A3"/>
  <c r="A2"/>
  <c r="A1"/>
  <c r="B33" i="1"/>
  <c r="B30"/>
  <c r="B25"/>
  <c r="B26" s="1"/>
  <c r="B27" s="1"/>
  <c r="B24"/>
  <c r="B17"/>
  <c r="D10" i="5" l="1"/>
  <c r="D10" i="4"/>
  <c r="D10" i="3"/>
  <c r="G30" i="2"/>
  <c r="G29"/>
  <c r="G44"/>
  <c r="D10"/>
  <c r="F12"/>
  <c r="F16" s="1"/>
  <c r="F20" s="1"/>
  <c r="B18" i="1"/>
  <c r="B19" s="1"/>
  <c r="B20" s="1"/>
  <c r="B21" s="1"/>
  <c r="D20" i="5"/>
  <c r="D20" i="4"/>
  <c r="D33" i="2"/>
  <c r="D29"/>
  <c r="D20" i="3"/>
  <c r="D21" i="5"/>
  <c r="D11"/>
  <c r="D21" i="4"/>
  <c r="D11"/>
  <c r="D11" i="3"/>
  <c r="D30" i="2"/>
  <c r="D21" i="3"/>
  <c r="B34" i="1"/>
  <c r="H6" i="2"/>
  <c r="A10"/>
  <c r="D11"/>
  <c r="G11"/>
  <c r="G12" s="1"/>
  <c r="G16" s="1"/>
  <c r="G20" s="1"/>
  <c r="G22" s="1"/>
  <c r="G25" s="1"/>
  <c r="I14"/>
  <c r="J14" s="1"/>
  <c r="K14" s="1"/>
  <c r="L14" s="1"/>
  <c r="M14" s="1"/>
  <c r="N14" s="1"/>
  <c r="D18"/>
  <c r="G18"/>
  <c r="D21"/>
  <c r="G24"/>
  <c r="F16" i="3"/>
  <c r="F26"/>
  <c r="F31" i="2"/>
  <c r="I6" i="3"/>
  <c r="H11"/>
  <c r="H12" s="1"/>
  <c r="H16" s="1"/>
  <c r="H14"/>
  <c r="G20"/>
  <c r="G21"/>
  <c r="G24"/>
  <c r="A10"/>
  <c r="S10"/>
  <c r="G11"/>
  <c r="G12" s="1"/>
  <c r="G14"/>
  <c r="H20"/>
  <c r="H21"/>
  <c r="H24"/>
  <c r="F16" i="4"/>
  <c r="A10"/>
  <c r="A11" s="1"/>
  <c r="H10"/>
  <c r="G14"/>
  <c r="H20"/>
  <c r="H21"/>
  <c r="F22"/>
  <c r="H24"/>
  <c r="G35"/>
  <c r="G35" i="5"/>
  <c r="G21"/>
  <c r="G10"/>
  <c r="G24"/>
  <c r="G20"/>
  <c r="G14"/>
  <c r="G11"/>
  <c r="H6"/>
  <c r="F16"/>
  <c r="I6" i="4"/>
  <c r="G10"/>
  <c r="G12" s="1"/>
  <c r="H11"/>
  <c r="H14"/>
  <c r="G20"/>
  <c r="G22" s="1"/>
  <c r="G26" s="1"/>
  <c r="G21"/>
  <c r="A10" i="5"/>
  <c r="A11" s="1"/>
  <c r="A12" s="1"/>
  <c r="F26"/>
  <c r="G16" i="3" l="1"/>
  <c r="H24" i="5"/>
  <c r="H21"/>
  <c r="H20"/>
  <c r="H22" s="1"/>
  <c r="H26" s="1"/>
  <c r="H35"/>
  <c r="H14"/>
  <c r="H11"/>
  <c r="H10"/>
  <c r="I6"/>
  <c r="D12" i="4"/>
  <c r="H22" i="3"/>
  <c r="H26" s="1"/>
  <c r="H30" s="1"/>
  <c r="H32" s="1"/>
  <c r="H34" s="1"/>
  <c r="H36" s="1"/>
  <c r="H42" s="1"/>
  <c r="I35"/>
  <c r="I14"/>
  <c r="I11"/>
  <c r="I12" s="1"/>
  <c r="J6"/>
  <c r="I24"/>
  <c r="I21"/>
  <c r="I20"/>
  <c r="D12" i="5"/>
  <c r="G16" i="4"/>
  <c r="G30" s="1"/>
  <c r="G32" s="1"/>
  <c r="G34" s="1"/>
  <c r="G36" s="1"/>
  <c r="G42" s="1"/>
  <c r="F30" i="5"/>
  <c r="F32" s="1"/>
  <c r="G22"/>
  <c r="G12"/>
  <c r="A14"/>
  <c r="F26" i="4"/>
  <c r="H22"/>
  <c r="H26" s="1"/>
  <c r="A12"/>
  <c r="H12"/>
  <c r="H16" s="1"/>
  <c r="H30" s="1"/>
  <c r="H32" s="1"/>
  <c r="H34" s="1"/>
  <c r="H36" s="1"/>
  <c r="H42" s="1"/>
  <c r="G22" i="3"/>
  <c r="A11"/>
  <c r="D12" s="1"/>
  <c r="F35" i="2"/>
  <c r="F30" i="3"/>
  <c r="F32" s="1"/>
  <c r="H44" i="2"/>
  <c r="H30"/>
  <c r="H29"/>
  <c r="H11"/>
  <c r="H12" s="1"/>
  <c r="H16" s="1"/>
  <c r="I6"/>
  <c r="H24"/>
  <c r="H18"/>
  <c r="D14" i="3"/>
  <c r="B35" i="1"/>
  <c r="F22" i="2"/>
  <c r="F25" s="1"/>
  <c r="F39" s="1"/>
  <c r="F41" s="1"/>
  <c r="G31"/>
  <c r="G35" s="1"/>
  <c r="G39" s="1"/>
  <c r="G41" s="1"/>
  <c r="G43" s="1"/>
  <c r="G45" s="1"/>
  <c r="G51" s="1"/>
  <c r="I24" i="4"/>
  <c r="I21"/>
  <c r="I20"/>
  <c r="I22" s="1"/>
  <c r="I26" s="1"/>
  <c r="I10"/>
  <c r="I35"/>
  <c r="I14"/>
  <c r="I11"/>
  <c r="J6"/>
  <c r="F30"/>
  <c r="F32" s="1"/>
  <c r="A11" i="2"/>
  <c r="D12" s="1"/>
  <c r="A12" l="1"/>
  <c r="A14" s="1"/>
  <c r="F43"/>
  <c r="D14" i="5"/>
  <c r="D14" i="4"/>
  <c r="D24" i="2"/>
  <c r="H20"/>
  <c r="F34" i="3"/>
  <c r="A14" i="4"/>
  <c r="D16" s="1"/>
  <c r="F34" i="5"/>
  <c r="I22" i="3"/>
  <c r="I26" s="1"/>
  <c r="I16"/>
  <c r="I35" i="5"/>
  <c r="I24"/>
  <c r="I20"/>
  <c r="I10"/>
  <c r="I21"/>
  <c r="I14"/>
  <c r="I11"/>
  <c r="J6"/>
  <c r="A16"/>
  <c r="A20" s="1"/>
  <c r="D16"/>
  <c r="F34" i="4"/>
  <c r="J35"/>
  <c r="J14"/>
  <c r="J11"/>
  <c r="K6"/>
  <c r="J24"/>
  <c r="J21"/>
  <c r="J20"/>
  <c r="J22" s="1"/>
  <c r="J26" s="1"/>
  <c r="J10"/>
  <c r="I12"/>
  <c r="I30" i="2"/>
  <c r="I29"/>
  <c r="I31" s="1"/>
  <c r="I35" s="1"/>
  <c r="I44"/>
  <c r="I24"/>
  <c r="I18"/>
  <c r="I11"/>
  <c r="J6"/>
  <c r="H31"/>
  <c r="H35" s="1"/>
  <c r="A12" i="3"/>
  <c r="G26"/>
  <c r="G30" s="1"/>
  <c r="G32" s="1"/>
  <c r="G16" i="5"/>
  <c r="G26"/>
  <c r="J24" i="3"/>
  <c r="J21"/>
  <c r="J20"/>
  <c r="J35"/>
  <c r="J14"/>
  <c r="J11"/>
  <c r="K6"/>
  <c r="H12" i="5"/>
  <c r="H16" s="1"/>
  <c r="H30" s="1"/>
  <c r="H32" s="1"/>
  <c r="H34" s="1"/>
  <c r="H36" s="1"/>
  <c r="H42" s="1"/>
  <c r="G34" i="3" l="1"/>
  <c r="G36" s="1"/>
  <c r="G42" s="1"/>
  <c r="K35"/>
  <c r="K14"/>
  <c r="K11"/>
  <c r="K12" s="1"/>
  <c r="L6"/>
  <c r="K24"/>
  <c r="K21"/>
  <c r="K20"/>
  <c r="J22"/>
  <c r="I22" i="5"/>
  <c r="F36" i="3"/>
  <c r="A16" i="2"/>
  <c r="D16" s="1"/>
  <c r="I12"/>
  <c r="I16" s="1"/>
  <c r="I20" s="1"/>
  <c r="I22" s="1"/>
  <c r="I25" s="1"/>
  <c r="I39" s="1"/>
  <c r="I41" s="1"/>
  <c r="I43" s="1"/>
  <c r="I45" s="1"/>
  <c r="I51" s="1"/>
  <c r="I16" i="4"/>
  <c r="I30" s="1"/>
  <c r="I32" s="1"/>
  <c r="J12" i="3"/>
  <c r="G30" i="5"/>
  <c r="G32" s="1"/>
  <c r="J44" i="2"/>
  <c r="J30"/>
  <c r="J29"/>
  <c r="J11"/>
  <c r="J12" s="1"/>
  <c r="J16" s="1"/>
  <c r="J20" s="1"/>
  <c r="J22" s="1"/>
  <c r="K6"/>
  <c r="J24"/>
  <c r="J18"/>
  <c r="A18"/>
  <c r="A20" s="1"/>
  <c r="J12" i="4"/>
  <c r="J16" s="1"/>
  <c r="J30" s="1"/>
  <c r="J32" s="1"/>
  <c r="J34" s="1"/>
  <c r="J36" s="1"/>
  <c r="J42" s="1"/>
  <c r="K24"/>
  <c r="K21"/>
  <c r="K20"/>
  <c r="K10"/>
  <c r="K35"/>
  <c r="K14"/>
  <c r="S14" s="1"/>
  <c r="K11"/>
  <c r="L6"/>
  <c r="F36"/>
  <c r="J24" i="5"/>
  <c r="J21"/>
  <c r="J20"/>
  <c r="J22" s="1"/>
  <c r="J26" s="1"/>
  <c r="J35"/>
  <c r="J14"/>
  <c r="J11"/>
  <c r="J10"/>
  <c r="K6"/>
  <c r="I12"/>
  <c r="I30" i="3"/>
  <c r="I32" s="1"/>
  <c r="I34" s="1"/>
  <c r="I36" s="1"/>
  <c r="I42" s="1"/>
  <c r="A21" i="5"/>
  <c r="F36"/>
  <c r="A16" i="4"/>
  <c r="A14" i="3"/>
  <c r="D16" s="1"/>
  <c r="H22" i="2"/>
  <c r="H25" s="1"/>
  <c r="H39" s="1"/>
  <c r="H41" s="1"/>
  <c r="F45"/>
  <c r="A22" l="1"/>
  <c r="A21"/>
  <c r="D22" s="1"/>
  <c r="F42" i="4"/>
  <c r="K22"/>
  <c r="K30" i="2"/>
  <c r="K29"/>
  <c r="K24"/>
  <c r="K44"/>
  <c r="K18"/>
  <c r="K11"/>
  <c r="K12" s="1"/>
  <c r="K16" s="1"/>
  <c r="L6"/>
  <c r="J31"/>
  <c r="A16" i="3"/>
  <c r="J16"/>
  <c r="I34" i="4"/>
  <c r="D20" i="2"/>
  <c r="F42" i="3"/>
  <c r="K22"/>
  <c r="K26" s="1"/>
  <c r="K16"/>
  <c r="K35" i="5"/>
  <c r="K21"/>
  <c r="K10"/>
  <c r="K24"/>
  <c r="K20"/>
  <c r="K22" s="1"/>
  <c r="K26" s="1"/>
  <c r="K14"/>
  <c r="K11"/>
  <c r="L6"/>
  <c r="F51" i="2"/>
  <c r="H43"/>
  <c r="A20" i="4"/>
  <c r="F42" i="5"/>
  <c r="A22"/>
  <c r="I16"/>
  <c r="J12"/>
  <c r="J16" s="1"/>
  <c r="J30" s="1"/>
  <c r="J32" s="1"/>
  <c r="J34" s="1"/>
  <c r="J36" s="1"/>
  <c r="J42" s="1"/>
  <c r="L35" i="4"/>
  <c r="L11"/>
  <c r="M6"/>
  <c r="L24"/>
  <c r="L21"/>
  <c r="L20"/>
  <c r="L10"/>
  <c r="L12" s="1"/>
  <c r="L16" s="1"/>
  <c r="K12"/>
  <c r="K16" s="1"/>
  <c r="J25" i="2"/>
  <c r="A20" i="3"/>
  <c r="G34" i="5"/>
  <c r="I26"/>
  <c r="D22"/>
  <c r="J26" i="3"/>
  <c r="L35"/>
  <c r="L24"/>
  <c r="L21"/>
  <c r="L20"/>
  <c r="L14"/>
  <c r="L11"/>
  <c r="M6"/>
  <c r="L12" l="1"/>
  <c r="L22"/>
  <c r="M35"/>
  <c r="M14"/>
  <c r="M11"/>
  <c r="M12" s="1"/>
  <c r="N6"/>
  <c r="M24"/>
  <c r="M21"/>
  <c r="M20"/>
  <c r="G36" i="5"/>
  <c r="L22" i="4"/>
  <c r="L26" s="1"/>
  <c r="I30" i="5"/>
  <c r="I32" s="1"/>
  <c r="A21" i="4"/>
  <c r="D22" s="1"/>
  <c r="L24" i="5"/>
  <c r="L21"/>
  <c r="L20"/>
  <c r="L22" s="1"/>
  <c r="L26" s="1"/>
  <c r="L35"/>
  <c r="L14"/>
  <c r="L11"/>
  <c r="L10"/>
  <c r="M6"/>
  <c r="K30" i="3"/>
  <c r="K32" s="1"/>
  <c r="K34" s="1"/>
  <c r="K36" s="1"/>
  <c r="K42" s="1"/>
  <c r="J35" i="2"/>
  <c r="J39" s="1"/>
  <c r="J41" s="1"/>
  <c r="K20"/>
  <c r="K31"/>
  <c r="K35" s="1"/>
  <c r="K26" i="4"/>
  <c r="K30" s="1"/>
  <c r="K32" s="1"/>
  <c r="A24" i="5"/>
  <c r="A26" s="1"/>
  <c r="D30" s="1"/>
  <c r="L30" i="4"/>
  <c r="L32" s="1"/>
  <c r="L34" s="1"/>
  <c r="L36" s="1"/>
  <c r="L42" s="1"/>
  <c r="M24"/>
  <c r="M21"/>
  <c r="M20"/>
  <c r="M10"/>
  <c r="M12" s="1"/>
  <c r="M16" s="1"/>
  <c r="M35"/>
  <c r="M11"/>
  <c r="N6"/>
  <c r="F43" i="5"/>
  <c r="A22" i="4"/>
  <c r="H45" i="2"/>
  <c r="F52"/>
  <c r="F53" s="1"/>
  <c r="G50" s="1"/>
  <c r="K12" i="5"/>
  <c r="A21" i="3"/>
  <c r="A22" s="1"/>
  <c r="F44"/>
  <c r="G41" s="1"/>
  <c r="F43"/>
  <c r="I36" i="4"/>
  <c r="J30" i="3"/>
  <c r="J32" s="1"/>
  <c r="L44" i="2"/>
  <c r="L30"/>
  <c r="L29"/>
  <c r="L31" s="1"/>
  <c r="L35" s="1"/>
  <c r="L24"/>
  <c r="M6"/>
  <c r="L18"/>
  <c r="L11"/>
  <c r="L12" s="1"/>
  <c r="L16" s="1"/>
  <c r="L20" s="1"/>
  <c r="L22" s="1"/>
  <c r="L25" s="1"/>
  <c r="L39" s="1"/>
  <c r="L41" s="1"/>
  <c r="L43" s="1"/>
  <c r="L45" s="1"/>
  <c r="L51" s="1"/>
  <c r="F44" i="4"/>
  <c r="G41" s="1"/>
  <c r="F43"/>
  <c r="A24" i="2"/>
  <c r="D26" i="3" l="1"/>
  <c r="A24"/>
  <c r="G53" i="2"/>
  <c r="H50" s="1"/>
  <c r="G52"/>
  <c r="J43"/>
  <c r="K34" i="4"/>
  <c r="A25" i="2"/>
  <c r="G44" i="3"/>
  <c r="H41" s="1"/>
  <c r="G43"/>
  <c r="K16" i="5"/>
  <c r="K30" s="1"/>
  <c r="K32" s="1"/>
  <c r="K34" s="1"/>
  <c r="K36" s="1"/>
  <c r="K42" s="1"/>
  <c r="D25" i="2"/>
  <c r="J34" i="3"/>
  <c r="I42" i="4"/>
  <c r="H51" i="2"/>
  <c r="F44" i="5"/>
  <c r="G41" s="1"/>
  <c r="N35" i="4"/>
  <c r="S35" s="1"/>
  <c r="N11"/>
  <c r="O6"/>
  <c r="N24"/>
  <c r="S24" s="1"/>
  <c r="N21"/>
  <c r="S21" s="1"/>
  <c r="N20"/>
  <c r="N10"/>
  <c r="M22"/>
  <c r="K22" i="2"/>
  <c r="K25" s="1"/>
  <c r="K39" s="1"/>
  <c r="K41" s="1"/>
  <c r="K43" s="1"/>
  <c r="K45" s="1"/>
  <c r="K51" s="1"/>
  <c r="A26" i="3"/>
  <c r="D30" s="1"/>
  <c r="M35" i="5"/>
  <c r="M24"/>
  <c r="M20"/>
  <c r="M10"/>
  <c r="M21"/>
  <c r="M14"/>
  <c r="M11"/>
  <c r="N6"/>
  <c r="I34"/>
  <c r="M22" i="3"/>
  <c r="M26" s="1"/>
  <c r="M16"/>
  <c r="A30" i="5"/>
  <c r="D26"/>
  <c r="D22" i="3"/>
  <c r="L26"/>
  <c r="L16"/>
  <c r="L30" s="1"/>
  <c r="L32" s="1"/>
  <c r="L34" s="1"/>
  <c r="L36" s="1"/>
  <c r="L42" s="1"/>
  <c r="G44" i="4"/>
  <c r="H41" s="1"/>
  <c r="G43"/>
  <c r="M30" i="2"/>
  <c r="M29"/>
  <c r="M24"/>
  <c r="M44"/>
  <c r="M18"/>
  <c r="M11"/>
  <c r="M12" s="1"/>
  <c r="M16" s="1"/>
  <c r="N6"/>
  <c r="L12" i="5"/>
  <c r="L16" s="1"/>
  <c r="L30" s="1"/>
  <c r="L32" s="1"/>
  <c r="L34" s="1"/>
  <c r="L36" s="1"/>
  <c r="L42" s="1"/>
  <c r="G42"/>
  <c r="N24" i="3"/>
  <c r="S24" s="1"/>
  <c r="N21"/>
  <c r="S21" s="1"/>
  <c r="N20"/>
  <c r="N22" s="1"/>
  <c r="N26" s="1"/>
  <c r="N35"/>
  <c r="S35" s="1"/>
  <c r="N14"/>
  <c r="N11"/>
  <c r="N12" s="1"/>
  <c r="O6"/>
  <c r="A24" i="4"/>
  <c r="A30" i="3" l="1"/>
  <c r="D32" s="1"/>
  <c r="S20"/>
  <c r="A26" i="4"/>
  <c r="N16" i="3"/>
  <c r="N30" s="1"/>
  <c r="N32" s="1"/>
  <c r="N34" s="1"/>
  <c r="N36" s="1"/>
  <c r="N42" s="1"/>
  <c r="M20" i="2"/>
  <c r="M31"/>
  <c r="M35" s="1"/>
  <c r="S22" i="3"/>
  <c r="S26" s="1"/>
  <c r="D32" i="5"/>
  <c r="A32"/>
  <c r="M30" i="3"/>
  <c r="M32" s="1"/>
  <c r="M34" s="1"/>
  <c r="M36" s="1"/>
  <c r="M42" s="1"/>
  <c r="N24" i="5"/>
  <c r="S24" s="1"/>
  <c r="N21"/>
  <c r="S21" s="1"/>
  <c r="N20"/>
  <c r="N22" s="1"/>
  <c r="N35"/>
  <c r="S35" s="1"/>
  <c r="N14"/>
  <c r="N11"/>
  <c r="N10"/>
  <c r="O6"/>
  <c r="M12"/>
  <c r="M16" s="1"/>
  <c r="N12" i="4"/>
  <c r="N16" s="1"/>
  <c r="O10"/>
  <c r="O12" s="1"/>
  <c r="O11"/>
  <c r="P6"/>
  <c r="D26"/>
  <c r="J36" i="3"/>
  <c r="S34"/>
  <c r="A29" i="2"/>
  <c r="O14" i="3"/>
  <c r="O11"/>
  <c r="O12" s="1"/>
  <c r="P6"/>
  <c r="N44" i="2"/>
  <c r="S44" s="1"/>
  <c r="N30"/>
  <c r="S30" s="1"/>
  <c r="N29"/>
  <c r="N11"/>
  <c r="O6"/>
  <c r="P6" s="1"/>
  <c r="Q6" s="1"/>
  <c r="N24"/>
  <c r="S24" s="1"/>
  <c r="N18"/>
  <c r="S18" s="1"/>
  <c r="H43" i="4"/>
  <c r="I36" i="5"/>
  <c r="M22"/>
  <c r="M26" s="1"/>
  <c r="S20"/>
  <c r="M26" i="4"/>
  <c r="M30" s="1"/>
  <c r="M32" s="1"/>
  <c r="N22"/>
  <c r="N26" s="1"/>
  <c r="S20"/>
  <c r="G44" i="5"/>
  <c r="H41" s="1"/>
  <c r="G43"/>
  <c r="S32" i="3"/>
  <c r="H43"/>
  <c r="H44" s="1"/>
  <c r="I41" s="1"/>
  <c r="K36" i="4"/>
  <c r="J45" i="2"/>
  <c r="H52"/>
  <c r="H53" s="1"/>
  <c r="I50" s="1"/>
  <c r="A32" i="3" l="1"/>
  <c r="I44"/>
  <c r="J41" s="1"/>
  <c r="I43"/>
  <c r="I53" i="2"/>
  <c r="J50" s="1"/>
  <c r="I52"/>
  <c r="J51"/>
  <c r="K42" i="4"/>
  <c r="S22"/>
  <c r="S26" s="1"/>
  <c r="N31" i="2"/>
  <c r="S29"/>
  <c r="N30" i="4"/>
  <c r="N32" s="1"/>
  <c r="N34" s="1"/>
  <c r="N36" s="1"/>
  <c r="N42" s="1"/>
  <c r="O10" i="5"/>
  <c r="O14"/>
  <c r="O11"/>
  <c r="P6"/>
  <c r="D34"/>
  <c r="A34"/>
  <c r="M22" i="2"/>
  <c r="M25" s="1"/>
  <c r="M39" s="1"/>
  <c r="M41" s="1"/>
  <c r="H44" i="5"/>
  <c r="I41" s="1"/>
  <c r="H43"/>
  <c r="M34" i="4"/>
  <c r="S32"/>
  <c r="I42" i="5"/>
  <c r="H44" i="4"/>
  <c r="I41" s="1"/>
  <c r="N12" i="2"/>
  <c r="N16" s="1"/>
  <c r="N20" s="1"/>
  <c r="N22" s="1"/>
  <c r="N25" s="1"/>
  <c r="S11"/>
  <c r="S12" s="1"/>
  <c r="S16" s="1"/>
  <c r="P14" i="3"/>
  <c r="P11"/>
  <c r="P12" s="1"/>
  <c r="Q6"/>
  <c r="A30" i="2"/>
  <c r="A31" s="1"/>
  <c r="J42" i="3"/>
  <c r="S42" s="1"/>
  <c r="S36"/>
  <c r="P11" i="4"/>
  <c r="Q6"/>
  <c r="P10"/>
  <c r="P12" s="1"/>
  <c r="M30" i="5"/>
  <c r="M32" s="1"/>
  <c r="N12"/>
  <c r="N16" s="1"/>
  <c r="N30" s="1"/>
  <c r="N32" s="1"/>
  <c r="N34" s="1"/>
  <c r="N36" s="1"/>
  <c r="N42" s="1"/>
  <c r="N26"/>
  <c r="S22"/>
  <c r="S26" s="1"/>
  <c r="D34" i="3"/>
  <c r="A34"/>
  <c r="D30" i="4"/>
  <c r="A30"/>
  <c r="D31" i="2" l="1"/>
  <c r="D32" i="4"/>
  <c r="A32"/>
  <c r="A35" i="3"/>
  <c r="A36" s="1"/>
  <c r="M34" i="5"/>
  <c r="S32"/>
  <c r="Q10" i="4"/>
  <c r="Q11"/>
  <c r="S11" s="1"/>
  <c r="A33" i="2"/>
  <c r="A35" s="1"/>
  <c r="Q14" i="3"/>
  <c r="S14" s="1"/>
  <c r="Q11"/>
  <c r="S20" i="2"/>
  <c r="S22" s="1"/>
  <c r="S25" s="1"/>
  <c r="A35" i="5"/>
  <c r="A36" s="1"/>
  <c r="P14"/>
  <c r="P11"/>
  <c r="P10"/>
  <c r="Q6"/>
  <c r="N35" i="2"/>
  <c r="N39" s="1"/>
  <c r="N41" s="1"/>
  <c r="S31"/>
  <c r="S35" s="1"/>
  <c r="I44" i="4"/>
  <c r="J41" s="1"/>
  <c r="I43"/>
  <c r="M36"/>
  <c r="S34"/>
  <c r="I43" i="5"/>
  <c r="I44" s="1"/>
  <c r="J41" s="1"/>
  <c r="M43" i="2"/>
  <c r="O12" i="5"/>
  <c r="J53" i="2"/>
  <c r="K50" s="1"/>
  <c r="J52"/>
  <c r="J44" i="3"/>
  <c r="K41" s="1"/>
  <c r="J43"/>
  <c r="N43" i="2" l="1"/>
  <c r="N45" s="1"/>
  <c r="N51" s="1"/>
  <c r="S41"/>
  <c r="J44" i="5"/>
  <c r="K41" s="1"/>
  <c r="J43"/>
  <c r="K44" i="3"/>
  <c r="L41" s="1"/>
  <c r="K43"/>
  <c r="Q10" i="5"/>
  <c r="Q14"/>
  <c r="S14" s="1"/>
  <c r="Q11"/>
  <c r="S11" s="1"/>
  <c r="M45" i="2"/>
  <c r="S43"/>
  <c r="M42" i="4"/>
  <c r="S42" s="1"/>
  <c r="S36"/>
  <c r="P12" i="5"/>
  <c r="D36"/>
  <c r="D35" i="2"/>
  <c r="Q12" i="4"/>
  <c r="S12" s="1"/>
  <c r="S16" s="1"/>
  <c r="S30" s="1"/>
  <c r="S10"/>
  <c r="M36" i="5"/>
  <c r="S34"/>
  <c r="D36" i="3"/>
  <c r="K52" i="2"/>
  <c r="K53" s="1"/>
  <c r="L50" s="1"/>
  <c r="J43" i="4"/>
  <c r="J44" s="1"/>
  <c r="K41" s="1"/>
  <c r="D42" i="5"/>
  <c r="A40"/>
  <c r="S39" i="2"/>
  <c r="Q12" i="3"/>
  <c r="S12" s="1"/>
  <c r="S16" s="1"/>
  <c r="S30" s="1"/>
  <c r="S11"/>
  <c r="A39" i="2"/>
  <c r="D39"/>
  <c r="D42" i="3"/>
  <c r="A40"/>
  <c r="D34" i="4"/>
  <c r="A34"/>
  <c r="K44" l="1"/>
  <c r="L41" s="1"/>
  <c r="K43"/>
  <c r="L53" i="2"/>
  <c r="M50" s="1"/>
  <c r="L52"/>
  <c r="A41"/>
  <c r="D41"/>
  <c r="A41" i="5"/>
  <c r="A35" i="4"/>
  <c r="A36" s="1"/>
  <c r="A41" i="3"/>
  <c r="M51" i="2"/>
  <c r="S45"/>
  <c r="M42" i="5"/>
  <c r="S42" s="1"/>
  <c r="S36"/>
  <c r="Q12"/>
  <c r="S12" s="1"/>
  <c r="S16" s="1"/>
  <c r="S30" s="1"/>
  <c r="S10"/>
  <c r="L44" i="3"/>
  <c r="M41" s="1"/>
  <c r="L43"/>
  <c r="K44" i="5"/>
  <c r="L41" s="1"/>
  <c r="K43"/>
  <c r="S51" i="2"/>
  <c r="A42" i="3" l="1"/>
  <c r="A43" s="1"/>
  <c r="A44" s="1"/>
  <c r="D41" s="1"/>
  <c r="D42" i="4"/>
  <c r="A40"/>
  <c r="A42" i="5"/>
  <c r="L43"/>
  <c r="L44" s="1"/>
  <c r="M41" s="1"/>
  <c r="M43" i="3"/>
  <c r="M44" s="1"/>
  <c r="N41" s="1"/>
  <c r="D43"/>
  <c r="D36" i="4"/>
  <c r="D43" i="2"/>
  <c r="A43"/>
  <c r="M52"/>
  <c r="M53" s="1"/>
  <c r="N50" s="1"/>
  <c r="L43" i="4"/>
  <c r="L44" s="1"/>
  <c r="M41" s="1"/>
  <c r="M44" l="1"/>
  <c r="N41" s="1"/>
  <c r="M43"/>
  <c r="N44" i="3"/>
  <c r="N43"/>
  <c r="S43" s="1"/>
  <c r="S44" s="1"/>
  <c r="N52" i="2"/>
  <c r="S52" s="1"/>
  <c r="S53" s="1"/>
  <c r="M43" i="5"/>
  <c r="M44" s="1"/>
  <c r="N41" s="1"/>
  <c r="A43"/>
  <c r="D43"/>
  <c r="A41" i="4"/>
  <c r="A44" i="2"/>
  <c r="A45" s="1"/>
  <c r="D44" i="3"/>
  <c r="N44" i="5" l="1"/>
  <c r="N43"/>
  <c r="S43" s="1"/>
  <c r="S44" s="1"/>
  <c r="A42" i="4"/>
  <c r="A43" s="1"/>
  <c r="A44" s="1"/>
  <c r="D41" s="1"/>
  <c r="D51" i="2"/>
  <c r="A49"/>
  <c r="D45"/>
  <c r="D43" i="4"/>
  <c r="A44" i="5"/>
  <c r="D41" s="1"/>
  <c r="D44"/>
  <c r="N53" i="2"/>
  <c r="N44" i="4"/>
  <c r="N43"/>
  <c r="S43" s="1"/>
  <c r="S44" s="1"/>
  <c r="A50" i="2" l="1"/>
  <c r="D44" i="4"/>
  <c r="A51" i="2" l="1"/>
  <c r="A52" l="1"/>
  <c r="D52"/>
  <c r="A53" l="1"/>
  <c r="D50" s="1"/>
  <c r="D53"/>
</calcChain>
</file>

<file path=xl/sharedStrings.xml><?xml version="1.0" encoding="utf-8"?>
<sst xmlns="http://schemas.openxmlformats.org/spreadsheetml/2006/main" count="169" uniqueCount="76">
  <si>
    <t>Workpaper Index</t>
  </si>
  <si>
    <t>Description:</t>
  </si>
  <si>
    <t>Utah Energy Balancing Account Mechanism</t>
  </si>
  <si>
    <t>Deferral Period:</t>
  </si>
  <si>
    <t>January 1, 2013 - December 31, 2013</t>
  </si>
  <si>
    <t>Exhibit 1</t>
  </si>
  <si>
    <t>Stipulated Scalar Energy Balancing Account Calculation</t>
  </si>
  <si>
    <t>Exhibit 2</t>
  </si>
  <si>
    <t>Docket 09-035-15 Commission Order Calculation (Dynamic Annual Allocation Factor)</t>
  </si>
  <si>
    <t>Exhibit 3</t>
  </si>
  <si>
    <t>Docket 11-035-200 Stipulation Exhibit A2 Method (Simplified Annual Allocation)</t>
  </si>
  <si>
    <t>Exhibit 4</t>
  </si>
  <si>
    <t>Docket 11-035-200 Stipulation Exhibit A3 Method (Monthly Allocation)</t>
  </si>
  <si>
    <t>Workpaper 5</t>
  </si>
  <si>
    <t>Calculation of Utah Allocated Actual Net Power Cost</t>
  </si>
  <si>
    <t>Utah Allocated Adjusted Actual Net Power Cost</t>
  </si>
  <si>
    <t>Adjusted Actual Net Power Cost by Category</t>
  </si>
  <si>
    <t>Adjusted Actual Net Power Cost</t>
  </si>
  <si>
    <t>Out-of-Period Adjustments</t>
  </si>
  <si>
    <t>Actual Net Power Cost as Booked</t>
  </si>
  <si>
    <t>Workpaper 6</t>
  </si>
  <si>
    <t>Calculation of Utah Base Net Power Cost</t>
  </si>
  <si>
    <t>Base Net Power Cost Summary</t>
  </si>
  <si>
    <t>Utah Allocated Base Net Power Cost in Docket 11-035-200</t>
  </si>
  <si>
    <t>Base Net Power Cost by Category in Docket 11-035-200</t>
  </si>
  <si>
    <t>Base Net Power Cost in Docket 11-035-200</t>
  </si>
  <si>
    <t>Workpaper 7</t>
  </si>
  <si>
    <t>Wheeling Revenues</t>
  </si>
  <si>
    <t>Wheeling Revenues: In-Rates and Actuals</t>
  </si>
  <si>
    <t>Workpaper 8</t>
  </si>
  <si>
    <t>Allocation Factors and Sales</t>
  </si>
  <si>
    <t>Actual Allocation Factors</t>
  </si>
  <si>
    <t>Dynamic Scalar</t>
  </si>
  <si>
    <t>Utah Jurisdictional Sales</t>
  </si>
  <si>
    <t>Line No.</t>
  </si>
  <si>
    <t>Reference</t>
  </si>
  <si>
    <t>Total</t>
  </si>
  <si>
    <t>Actual:</t>
  </si>
  <si>
    <t>Total Company NPC</t>
  </si>
  <si>
    <t>Net System Load</t>
  </si>
  <si>
    <t>Total Company NPC $/MWH</t>
  </si>
  <si>
    <t>PRIOR YEAR</t>
  </si>
  <si>
    <t>Scaled Utah NPC $/MWH</t>
  </si>
  <si>
    <t>Utah Load</t>
  </si>
  <si>
    <t>Utah Allocated NPC</t>
  </si>
  <si>
    <t>Utah Allocated Wheeling Revenues</t>
  </si>
  <si>
    <t>Total Energy Balancing Account Costs</t>
  </si>
  <si>
    <t>Utah Sales</t>
  </si>
  <si>
    <t xml:space="preserve">Utah EBA $/MWh </t>
  </si>
  <si>
    <t>Base:</t>
  </si>
  <si>
    <t>NPC</t>
  </si>
  <si>
    <t>Wheeling Revenue</t>
  </si>
  <si>
    <t>Jurisdictional Sales</t>
  </si>
  <si>
    <t>Base Utah EBA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</si>
  <si>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</si>
  <si>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</si>
  <si>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</si>
  <si>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</si>
  <si>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</si>
  <si>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>Note 1</t>
  </si>
  <si>
    <t xml:space="preserve">Incremental Deferral </t>
  </si>
  <si>
    <t>Energy Balancing Account:</t>
  </si>
  <si>
    <t>Monthly Interest Rate</t>
  </si>
  <si>
    <t>Note 2</t>
  </si>
  <si>
    <t>Beginning Balance</t>
  </si>
  <si>
    <t>Incremental Deferral</t>
  </si>
  <si>
    <t>Interest</t>
  </si>
  <si>
    <t>Ending Balance</t>
  </si>
  <si>
    <t xml:space="preserve">Notes: </t>
  </si>
  <si>
    <t xml:space="preserve">FERC issued an order approving a settlement in ER11-3643 May 23, 2013.  The impact of the order is under review and will be reflected in the Company's annual EBA filing. </t>
  </si>
  <si>
    <t>Docket No. 09-035-15, March 2, 2011 Report and Order, Page 79</t>
  </si>
  <si>
    <t>Actual: Utah Allocated</t>
  </si>
  <si>
    <t>Actual Utah $/MWh</t>
  </si>
  <si>
    <t>Base:  Utah Allocated</t>
  </si>
  <si>
    <t>Base Utah $/MWh</t>
  </si>
  <si>
    <t xml:space="preserve">Note: 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</si>
</sst>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_(&quot;$&quot;\ #,##0.00_);_(&quot;$&quot;* \(#,##0.00\);_(&quot;$&quot;* &quot;-&quot;??_);_(@_)"/>
    <numFmt numFmtId="167" formatCode="_(* #,##0.00000_);_(* \(#,##0.00000\);_(* &quot;-&quot;_);_(@_)"/>
    <numFmt numFmtId="168" formatCode="_(* #,##0_);_(* \(#,##0\);_(* &quot;-&quot;??_);_(@_)"/>
    <numFmt numFmtId="169" formatCode="_(&quot;$&quot;\ #,##0.00_);_(&quot;$&quot;\ \(#,##0.00\);_(&quot;$&quot;\ &quot;-&quot;??_);_(@_)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0.0"/>
    <numFmt numFmtId="174" formatCode="#,##0.000;[Red]\-#,##0.000"/>
    <numFmt numFmtId="175" formatCode="_(* #,##0_);[Red]_(* \(#,##0\);_(* &quot;-&quot;_);_(@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0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2" borderId="0" applyNumberFormat="0" applyBorder="0" applyAlignment="0" applyProtection="0"/>
    <xf numFmtId="0" fontId="11" fillId="0" borderId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10" fontId="8" fillId="3" borderId="6" applyNumberFormat="0" applyBorder="0" applyAlignment="0" applyProtection="0"/>
    <xf numFmtId="173" fontId="7" fillId="0" borderId="0" applyNumberFormat="0" applyFill="0" applyBorder="0" applyAlignment="0" applyProtection="0"/>
    <xf numFmtId="0" fontId="8" fillId="0" borderId="7" applyNumberFormat="0" applyBorder="0" applyAlignment="0"/>
    <xf numFmtId="17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75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3" fillId="0" borderId="0" applyFont="0" applyFill="0" applyBorder="0" applyAlignment="0" applyProtection="0"/>
    <xf numFmtId="175" fontId="2" fillId="0" borderId="0"/>
    <xf numFmtId="0" fontId="2" fillId="0" borderId="0"/>
    <xf numFmtId="175" fontId="2" fillId="0" borderId="0"/>
    <xf numFmtId="0" fontId="14" fillId="0" borderId="0"/>
    <xf numFmtId="0" fontId="2" fillId="0" borderId="0"/>
    <xf numFmtId="0" fontId="12" fillId="0" borderId="0"/>
    <xf numFmtId="12" fontId="3" fillId="4" borderId="8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5" borderId="9" applyNumberFormat="0" applyProtection="0">
      <alignment vertical="center"/>
    </xf>
    <xf numFmtId="4" fontId="17" fillId="6" borderId="9" applyNumberFormat="0" applyProtection="0">
      <alignment vertical="center"/>
    </xf>
    <xf numFmtId="4" fontId="16" fillId="6" borderId="9" applyNumberFormat="0" applyProtection="0">
      <alignment vertical="center"/>
    </xf>
    <xf numFmtId="0" fontId="16" fillId="6" borderId="9" applyNumberFormat="0" applyProtection="0">
      <alignment horizontal="left" vertical="top" indent="1"/>
    </xf>
    <xf numFmtId="4" fontId="16" fillId="7" borderId="10" applyNumberFormat="0" applyProtection="0">
      <alignment vertical="center"/>
    </xf>
    <xf numFmtId="4" fontId="14" fillId="8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1" borderId="9" applyNumberFormat="0" applyProtection="0">
      <alignment horizontal="right" vertical="center"/>
    </xf>
    <xf numFmtId="4" fontId="14" fillId="12" borderId="9" applyNumberFormat="0" applyProtection="0">
      <alignment horizontal="right" vertical="center"/>
    </xf>
    <xf numFmtId="4" fontId="14" fillId="13" borderId="9" applyNumberFormat="0" applyProtection="0">
      <alignment horizontal="right" vertical="center"/>
    </xf>
    <xf numFmtId="4" fontId="14" fillId="14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6" borderId="9" applyNumberFormat="0" applyProtection="0">
      <alignment horizontal="right" vertical="center"/>
    </xf>
    <xf numFmtId="4" fontId="16" fillId="17" borderId="11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7" borderId="9" applyNumberFormat="0" applyProtection="0">
      <alignment horizontal="left" vertical="top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top" indent="1"/>
    </xf>
    <xf numFmtId="4" fontId="14" fillId="3" borderId="9" applyNumberFormat="0" applyProtection="0">
      <alignment vertical="center"/>
    </xf>
    <xf numFmtId="4" fontId="21" fillId="3" borderId="9" applyNumberFormat="0" applyProtection="0">
      <alignment vertical="center"/>
    </xf>
    <xf numFmtId="4" fontId="14" fillId="3" borderId="9" applyNumberFormat="0" applyProtection="0">
      <alignment horizontal="left" vertical="center" indent="1"/>
    </xf>
    <xf numFmtId="0" fontId="14" fillId="3" borderId="9" applyNumberFormat="0" applyProtection="0">
      <alignment horizontal="left" vertical="top" indent="1"/>
    </xf>
    <xf numFmtId="4" fontId="14" fillId="23" borderId="12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14" fillId="20" borderId="9" applyNumberFormat="0" applyProtection="0">
      <alignment horizontal="left" vertical="center" indent="1"/>
    </xf>
    <xf numFmtId="0" fontId="14" fillId="7" borderId="9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24" borderId="0" applyNumberFormat="0" applyProtection="0">
      <alignment horizontal="left"/>
    </xf>
    <xf numFmtId="4" fontId="24" fillId="18" borderId="9" applyNumberFormat="0" applyProtection="0">
      <alignment horizontal="right" vertical="center"/>
    </xf>
    <xf numFmtId="0" fontId="5" fillId="0" borderId="6">
      <alignment horizontal="center" vertical="center" wrapText="1"/>
    </xf>
    <xf numFmtId="37" fontId="8" fillId="6" borderId="0" applyNumberFormat="0" applyBorder="0" applyAlignment="0" applyProtection="0"/>
    <xf numFmtId="37" fontId="8" fillId="0" borderId="0"/>
    <xf numFmtId="3" fontId="25" fillId="25" borderId="13" applyProtection="0"/>
  </cellStyleXfs>
  <cellXfs count="86">
    <xf numFmtId="0" fontId="0" fillId="0" borderId="0" xfId="0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7" fillId="0" borderId="0" xfId="0" applyNumberFormat="1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 vertical="center" wrapText="1"/>
    </xf>
    <xf numFmtId="41" fontId="8" fillId="0" borderId="0" xfId="0" applyNumberFormat="1" applyFont="1" applyFill="1" applyAlignment="1">
      <alignment horizontal="center" vertical="center"/>
    </xf>
    <xf numFmtId="165" fontId="8" fillId="0" borderId="0" xfId="3" applyNumberFormat="1" applyFont="1" applyAlignment="1">
      <alignment vertical="center"/>
    </xf>
    <xf numFmtId="4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0" fontId="8" fillId="0" borderId="0" xfId="3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166" fontId="7" fillId="0" borderId="0" xfId="2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1" fontId="8" fillId="0" borderId="0" xfId="3" applyNumberFormat="1" applyFont="1" applyAlignment="1">
      <alignment vertical="center"/>
    </xf>
    <xf numFmtId="168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41" fontId="8" fillId="0" borderId="2" xfId="0" applyNumberFormat="1" applyFont="1" applyFill="1" applyBorder="1" applyAlignment="1">
      <alignment horizontal="right" vertical="center"/>
    </xf>
    <xf numFmtId="168" fontId="7" fillId="0" borderId="0" xfId="1" applyNumberFormat="1" applyFont="1" applyFill="1" applyAlignment="1">
      <alignment horizontal="center" vertical="center"/>
    </xf>
    <xf numFmtId="169" fontId="8" fillId="0" borderId="0" xfId="2" applyNumberFormat="1" applyFont="1" applyFill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/>
    </xf>
    <xf numFmtId="38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10" fontId="8" fillId="0" borderId="0" xfId="0" applyNumberFormat="1" applyFont="1" applyFill="1" applyAlignment="1">
      <alignment horizontal="right" vertical="center"/>
    </xf>
    <xf numFmtId="38" fontId="8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8" fillId="0" borderId="1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3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left" vertical="center"/>
    </xf>
    <xf numFmtId="41" fontId="8" fillId="0" borderId="0" xfId="0" quotePrefix="1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</cellXfs>
  <cellStyles count="110"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14"/>
    <cellStyle name="Comma 3" xfId="15"/>
    <cellStyle name="Comma 3 2" xfId="16"/>
    <cellStyle name="Comma 4" xfId="17"/>
    <cellStyle name="Comma 5" xfId="18"/>
    <cellStyle name="Comma 6" xfId="19"/>
    <cellStyle name="Comma0" xfId="20"/>
    <cellStyle name="Currency" xfId="2" builtinId="4"/>
    <cellStyle name="Currency 2" xfId="21"/>
    <cellStyle name="Currency 2 2" xfId="22"/>
    <cellStyle name="Currency 2 2 2" xfId="23"/>
    <cellStyle name="Currency 3" xfId="24"/>
    <cellStyle name="Currency No Comma" xfId="25"/>
    <cellStyle name="Currency0" xfId="26"/>
    <cellStyle name="Date" xfId="27"/>
    <cellStyle name="Fixed" xfId="28"/>
    <cellStyle name="Grey" xfId="29"/>
    <cellStyle name="header" xfId="30"/>
    <cellStyle name="Header1" xfId="31"/>
    <cellStyle name="Header2" xfId="32"/>
    <cellStyle name="Input [yellow]" xfId="33"/>
    <cellStyle name="MCP" xfId="34"/>
    <cellStyle name="noninput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2 3" xfId="44"/>
    <cellStyle name="Normal 2 3 2" xfId="45"/>
    <cellStyle name="Normal 3" xfId="46"/>
    <cellStyle name="Normal 3 2" xfId="47"/>
    <cellStyle name="Normal 3 2 2" xfId="48"/>
    <cellStyle name="Normal 3 3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Password" xfId="58"/>
    <cellStyle name="Percent" xfId="3" builtinId="5"/>
    <cellStyle name="Percent [2]" xfId="59"/>
    <cellStyle name="Percent 2" xfId="60"/>
    <cellStyle name="Percent 2 2" xfId="61"/>
    <cellStyle name="Percent 2 2 2" xfId="62"/>
    <cellStyle name="Percent 2 3" xfId="63"/>
    <cellStyle name="Percent 3" xfId="64"/>
    <cellStyle name="Percent 3 2" xfId="65"/>
    <cellStyle name="Percent 4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title 2" xfId="104"/>
    <cellStyle name="SAPBEXundefined" xfId="105"/>
    <cellStyle name="Titles" xfId="106"/>
    <cellStyle name="Unprot" xfId="107"/>
    <cellStyle name="Unprot$" xfId="108"/>
    <cellStyle name="Unprotect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x%20UT%20Reg\UT%20EBA%20Qtrly%20Reports%20(09-035-15%2012-035-67)\2013.Q3\Workpapers\_UT%20EBA%20(SEP13)%20CONF_2013%2012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orkpaper Index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>
        <row r="38">
          <cell r="I38">
            <v>135238318.38999996</v>
          </cell>
          <cell r="J38">
            <v>115956044.68000002</v>
          </cell>
          <cell r="K38">
            <v>120157156.65000002</v>
          </cell>
          <cell r="L38">
            <v>110114207.72</v>
          </cell>
          <cell r="M38">
            <v>118957321.69999999</v>
          </cell>
          <cell r="N38">
            <v>130439112.24000001</v>
          </cell>
          <cell r="O38">
            <v>174859252.37999997</v>
          </cell>
          <cell r="P38">
            <v>157727766.36000001</v>
          </cell>
          <cell r="Q38">
            <v>140528924.52000001</v>
          </cell>
          <cell r="R38">
            <v>0</v>
          </cell>
          <cell r="S38">
            <v>0</v>
          </cell>
          <cell r="T38">
            <v>0</v>
          </cell>
        </row>
        <row r="46">
          <cell r="E46" t="str">
            <v>ALLOCATION</v>
          </cell>
          <cell r="G46" t="str">
            <v>Total</v>
          </cell>
          <cell r="I46">
            <v>41275</v>
          </cell>
          <cell r="J46">
            <v>41306</v>
          </cell>
          <cell r="K46">
            <v>41334</v>
          </cell>
          <cell r="L46">
            <v>41365</v>
          </cell>
          <cell r="M46">
            <v>41395</v>
          </cell>
          <cell r="N46">
            <v>41426</v>
          </cell>
          <cell r="O46">
            <v>41456</v>
          </cell>
          <cell r="P46">
            <v>41487</v>
          </cell>
          <cell r="Q46">
            <v>41518</v>
          </cell>
          <cell r="R46">
            <v>41548</v>
          </cell>
          <cell r="S46">
            <v>41579</v>
          </cell>
          <cell r="T46">
            <v>41609</v>
          </cell>
        </row>
        <row r="78">
          <cell r="C78" t="str">
            <v>ADJUSTED ACTUAL NET POWER COST</v>
          </cell>
          <cell r="G78">
            <v>522012458.7658239</v>
          </cell>
          <cell r="I78">
            <v>58621674.915911429</v>
          </cell>
          <cell r="J78">
            <v>50184236.915382475</v>
          </cell>
          <cell r="K78">
            <v>52024816.80098033</v>
          </cell>
          <cell r="L78">
            <v>47644799.832439214</v>
          </cell>
          <cell r="M78">
            <v>51538029.727268748</v>
          </cell>
          <cell r="N78">
            <v>56604959.848274179</v>
          </cell>
          <cell r="O78">
            <v>76095599.013290346</v>
          </cell>
          <cell r="P78">
            <v>68477796.505149767</v>
          </cell>
          <cell r="Q78">
            <v>60820545.207127407</v>
          </cell>
          <cell r="R78">
            <v>0</v>
          </cell>
          <cell r="S78">
            <v>0</v>
          </cell>
          <cell r="T78">
            <v>0</v>
          </cell>
        </row>
        <row r="86">
          <cell r="E86" t="str">
            <v>ALLOCATION</v>
          </cell>
          <cell r="G86" t="str">
            <v>Total</v>
          </cell>
          <cell r="I86">
            <v>41275</v>
          </cell>
          <cell r="J86">
            <v>41306</v>
          </cell>
          <cell r="K86">
            <v>41334</v>
          </cell>
          <cell r="L86">
            <v>41365</v>
          </cell>
          <cell r="M86">
            <v>41395</v>
          </cell>
          <cell r="N86">
            <v>41426</v>
          </cell>
          <cell r="O86">
            <v>41456</v>
          </cell>
          <cell r="P86">
            <v>41487</v>
          </cell>
          <cell r="Q86">
            <v>41518</v>
          </cell>
          <cell r="R86">
            <v>41548</v>
          </cell>
          <cell r="S86">
            <v>41579</v>
          </cell>
          <cell r="T86">
            <v>41609</v>
          </cell>
        </row>
        <row r="118">
          <cell r="C118" t="str">
            <v>PRORATED ACTUAL NET POWER COST</v>
          </cell>
          <cell r="G118">
            <v>528190959.12127733</v>
          </cell>
          <cell r="I118">
            <v>56091209.33103697</v>
          </cell>
          <cell r="J118">
            <v>48058184.570612334</v>
          </cell>
          <cell r="K118">
            <v>49649142.531038322</v>
          </cell>
          <cell r="L118">
            <v>45860916.671033077</v>
          </cell>
          <cell r="M118">
            <v>51673689.378494486</v>
          </cell>
          <cell r="N118">
            <v>59049751.291388258</v>
          </cell>
          <cell r="O118">
            <v>80665618.799806267</v>
          </cell>
          <cell r="P118">
            <v>73487147.226693124</v>
          </cell>
          <cell r="Q118">
            <v>63655299.321174532</v>
          </cell>
          <cell r="R118">
            <v>0</v>
          </cell>
          <cell r="S118">
            <v>0</v>
          </cell>
          <cell r="T118">
            <v>0</v>
          </cell>
        </row>
      </sheetData>
      <sheetData sheetId="6"/>
      <sheetData sheetId="7"/>
      <sheetData sheetId="8"/>
      <sheetData sheetId="9"/>
      <sheetData sheetId="10">
        <row r="21">
          <cell r="J21">
            <v>1982626.99979</v>
          </cell>
          <cell r="K21">
            <v>1789929.9980000001</v>
          </cell>
          <cell r="L21">
            <v>1910070.0009899999</v>
          </cell>
          <cell r="M21">
            <v>1856810.0009900001</v>
          </cell>
          <cell r="N21">
            <v>1998460.00202</v>
          </cell>
          <cell r="O21">
            <v>1912132.46205</v>
          </cell>
          <cell r="P21">
            <v>2266364.4785400005</v>
          </cell>
          <cell r="Q21">
            <v>2314401.9906899994</v>
          </cell>
          <cell r="R21">
            <v>1968925.9935399997</v>
          </cell>
        </row>
        <row r="22">
          <cell r="D22" t="str">
            <v>Base Utah NPC</v>
          </cell>
          <cell r="H22">
            <v>636001721</v>
          </cell>
          <cell r="J22">
            <v>50011065.137238234</v>
          </cell>
          <cell r="K22">
            <v>45985167.100023851</v>
          </cell>
          <cell r="L22">
            <v>49906973.15688844</v>
          </cell>
          <cell r="M22">
            <v>48917079.303698763</v>
          </cell>
          <cell r="N22">
            <v>52873367.693607651</v>
          </cell>
          <cell r="O22">
            <v>53728239.205889396</v>
          </cell>
          <cell r="P22">
            <v>63466696.84056095</v>
          </cell>
          <cell r="Q22">
            <v>66758059.057229094</v>
          </cell>
          <cell r="R22">
            <v>57122257.463790625</v>
          </cell>
          <cell r="S22">
            <v>50900050.110836901</v>
          </cell>
          <cell r="T22">
            <v>47730263.688800253</v>
          </cell>
          <cell r="U22">
            <v>48602502.241435856</v>
          </cell>
        </row>
        <row r="30">
          <cell r="H30" t="str">
            <v>Total</v>
          </cell>
          <cell r="J30">
            <v>41275</v>
          </cell>
          <cell r="K30">
            <v>41306</v>
          </cell>
          <cell r="L30">
            <v>41334</v>
          </cell>
          <cell r="M30">
            <v>41365</v>
          </cell>
          <cell r="N30">
            <v>41395</v>
          </cell>
          <cell r="O30">
            <v>41426</v>
          </cell>
          <cell r="P30">
            <v>41456</v>
          </cell>
          <cell r="Q30">
            <v>41487</v>
          </cell>
          <cell r="R30">
            <v>41518</v>
          </cell>
          <cell r="S30">
            <v>41548</v>
          </cell>
          <cell r="T30">
            <v>41579</v>
          </cell>
          <cell r="U30">
            <v>41609</v>
          </cell>
        </row>
        <row r="41">
          <cell r="D41" t="str">
            <v>Base Utah MWh</v>
          </cell>
          <cell r="H41">
            <v>23734642.546709999</v>
          </cell>
          <cell r="J41">
            <v>1982626.99979</v>
          </cell>
          <cell r="K41">
            <v>1789929.9980000001</v>
          </cell>
          <cell r="L41">
            <v>1910070.0009899999</v>
          </cell>
          <cell r="M41">
            <v>1856810.0009900001</v>
          </cell>
          <cell r="N41">
            <v>1998460.00202</v>
          </cell>
          <cell r="O41">
            <v>1912132.46205</v>
          </cell>
          <cell r="P41">
            <v>2266364.4785400005</v>
          </cell>
          <cell r="Q41">
            <v>2314401.9906899994</v>
          </cell>
          <cell r="R41">
            <v>1968925.9935399997</v>
          </cell>
          <cell r="S41">
            <v>1906260.0009999997</v>
          </cell>
          <cell r="T41">
            <v>1856770.00499</v>
          </cell>
          <cell r="U41">
            <v>1971890.61411</v>
          </cell>
        </row>
        <row r="42">
          <cell r="D42" t="str">
            <v>Base Utah NPC</v>
          </cell>
          <cell r="H42">
            <v>636001721.21197641</v>
          </cell>
          <cell r="J42">
            <v>52796307.735829368</v>
          </cell>
          <cell r="K42">
            <v>47750729.137930557</v>
          </cell>
          <cell r="L42">
            <v>51724279.274898469</v>
          </cell>
          <cell r="M42">
            <v>49460054.219588622</v>
          </cell>
          <cell r="N42">
            <v>51997639.587114565</v>
          </cell>
          <cell r="O42">
            <v>53284300.664967395</v>
          </cell>
          <cell r="P42">
            <v>60964992.780957758</v>
          </cell>
          <cell r="Q42">
            <v>62157762.395888053</v>
          </cell>
          <cell r="R42">
            <v>54972668.512711853</v>
          </cell>
          <cell r="S42">
            <v>50916604.3044829</v>
          </cell>
          <cell r="T42">
            <v>49157003.453889117</v>
          </cell>
          <cell r="U42">
            <v>50819379.143717781</v>
          </cell>
        </row>
        <row r="61">
          <cell r="D61" t="str">
            <v>Base Utah MWh</v>
          </cell>
          <cell r="H61">
            <v>23734642.546709999</v>
          </cell>
          <cell r="J61">
            <v>1982626.99979</v>
          </cell>
          <cell r="K61">
            <v>1789929.9980000001</v>
          </cell>
          <cell r="L61">
            <v>1910070.0009899999</v>
          </cell>
          <cell r="M61">
            <v>1856810.0009900001</v>
          </cell>
          <cell r="N61">
            <v>1998460.00202</v>
          </cell>
          <cell r="O61">
            <v>1912132.46205</v>
          </cell>
          <cell r="P61">
            <v>2266364.4785400005</v>
          </cell>
          <cell r="Q61">
            <v>2314401.9906899994</v>
          </cell>
          <cell r="R61">
            <v>1968925.9935399997</v>
          </cell>
          <cell r="S61">
            <v>1906260.0009999997</v>
          </cell>
          <cell r="T61">
            <v>1856770.00499</v>
          </cell>
          <cell r="U61">
            <v>1971890.61411</v>
          </cell>
        </row>
        <row r="62">
          <cell r="D62" t="str">
            <v>Base Utah NPC</v>
          </cell>
          <cell r="H62">
            <v>636001721.21197641</v>
          </cell>
          <cell r="J62">
            <v>52808576.86786487</v>
          </cell>
          <cell r="K62">
            <v>47751766.215919696</v>
          </cell>
          <cell r="L62">
            <v>51717005.50693883</v>
          </cell>
          <cell r="M62">
            <v>49432306.181200609</v>
          </cell>
          <cell r="N62">
            <v>51962691.99899593</v>
          </cell>
          <cell r="O62">
            <v>53272422.259827644</v>
          </cell>
          <cell r="P62">
            <v>60959067.642701879</v>
          </cell>
          <cell r="Q62">
            <v>62156253.654774278</v>
          </cell>
          <cell r="R62">
            <v>54982894.5326159</v>
          </cell>
          <cell r="S62">
            <v>50937959.383127972</v>
          </cell>
          <cell r="T62">
            <v>49183492.342126973</v>
          </cell>
          <cell r="U62">
            <v>50837284.625881799</v>
          </cell>
        </row>
        <row r="81">
          <cell r="D81" t="str">
            <v>Base Utah MWh</v>
          </cell>
          <cell r="H81">
            <v>23734642.546709999</v>
          </cell>
          <cell r="J81">
            <v>1982626.99979</v>
          </cell>
          <cell r="K81">
            <v>1789929.9980000001</v>
          </cell>
          <cell r="L81">
            <v>1910070.0009899999</v>
          </cell>
          <cell r="M81">
            <v>1856810.0009900001</v>
          </cell>
          <cell r="N81">
            <v>1998460.00202</v>
          </cell>
          <cell r="O81">
            <v>1912132.46205</v>
          </cell>
          <cell r="P81">
            <v>2266364.4785400005</v>
          </cell>
          <cell r="Q81">
            <v>2314401.9906899994</v>
          </cell>
          <cell r="R81">
            <v>1968925.9935399997</v>
          </cell>
          <cell r="S81">
            <v>1906260.0009999997</v>
          </cell>
          <cell r="T81">
            <v>1856770.00499</v>
          </cell>
          <cell r="U81">
            <v>1971890.61411</v>
          </cell>
        </row>
        <row r="82">
          <cell r="D82" t="str">
            <v>Base Utah NPC</v>
          </cell>
          <cell r="H82">
            <v>636001721.21197641</v>
          </cell>
          <cell r="J82">
            <v>49303185.701585226</v>
          </cell>
          <cell r="K82">
            <v>45475669.649817154</v>
          </cell>
          <cell r="L82">
            <v>49321841.767926015</v>
          </cell>
          <cell r="M82">
            <v>48151326.485147625</v>
          </cell>
          <cell r="N82">
            <v>54404743.894118764</v>
          </cell>
          <cell r="O82">
            <v>54344975.267398842</v>
          </cell>
          <cell r="P82">
            <v>63720157.892045878</v>
          </cell>
          <cell r="Q82">
            <v>66891132.250358388</v>
          </cell>
          <cell r="R82">
            <v>57505636.985292926</v>
          </cell>
          <cell r="S82">
            <v>50594578.633538291</v>
          </cell>
          <cell r="T82">
            <v>47745574.198106132</v>
          </cell>
          <cell r="U82">
            <v>48542898.486641221</v>
          </cell>
        </row>
      </sheetData>
      <sheetData sheetId="11"/>
      <sheetData sheetId="12"/>
      <sheetData sheetId="13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4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41275</v>
          </cell>
          <cell r="H10">
            <v>41306</v>
          </cell>
          <cell r="I10">
            <v>41334</v>
          </cell>
          <cell r="J10">
            <v>41365</v>
          </cell>
          <cell r="K10">
            <v>41395</v>
          </cell>
          <cell r="L10">
            <v>41426</v>
          </cell>
          <cell r="M10">
            <v>41456</v>
          </cell>
          <cell r="N10">
            <v>41487</v>
          </cell>
          <cell r="O10">
            <v>41518</v>
          </cell>
          <cell r="P10">
            <v>41548</v>
          </cell>
          <cell r="Q10">
            <v>41579</v>
          </cell>
          <cell r="R10">
            <v>41609</v>
          </cell>
          <cell r="T10" t="str">
            <v>Total</v>
          </cell>
        </row>
        <row r="53">
          <cell r="F53" t="str">
            <v>Utah Allocated Additional FERC ER11-3643 Revenues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T53">
            <v>0</v>
          </cell>
        </row>
        <row r="54">
          <cell r="F54" t="str">
            <v>Utah Allocated Actual Wheeling Revenues</v>
          </cell>
          <cell r="G54">
            <v>-2631831.6499509481</v>
          </cell>
          <cell r="H54">
            <v>-2620482.5010365178</v>
          </cell>
          <cell r="I54">
            <v>-2378893.449179153</v>
          </cell>
          <cell r="J54">
            <v>-2777340.3790668081</v>
          </cell>
          <cell r="K54">
            <v>-3665684.0571883535</v>
          </cell>
          <cell r="L54">
            <v>-3454315.241065504</v>
          </cell>
          <cell r="M54">
            <v>-3706470.9299448757</v>
          </cell>
          <cell r="N54">
            <v>-3428572.1574649317</v>
          </cell>
          <cell r="O54">
            <v>-3376409.3534651273</v>
          </cell>
          <cell r="P54">
            <v>0</v>
          </cell>
          <cell r="Q54">
            <v>0</v>
          </cell>
          <cell r="R54">
            <v>0</v>
          </cell>
          <cell r="T54">
            <v>-28039999.718362223</v>
          </cell>
        </row>
        <row r="68">
          <cell r="F68" t="str">
            <v>Total Wheeling Revenue in Rates UT Allocated</v>
          </cell>
          <cell r="G68">
            <v>-2684824.28561325</v>
          </cell>
          <cell r="H68">
            <v>-2684824.28561325</v>
          </cell>
          <cell r="I68">
            <v>-2684824.28561325</v>
          </cell>
          <cell r="J68">
            <v>-2684824.28561325</v>
          </cell>
          <cell r="K68">
            <v>-2684824.28561325</v>
          </cell>
          <cell r="L68">
            <v>-2684824.28561325</v>
          </cell>
          <cell r="M68">
            <v>-2684824.28561325</v>
          </cell>
          <cell r="N68">
            <v>-2684824.28561325</v>
          </cell>
          <cell r="O68">
            <v>-2684824.28561325</v>
          </cell>
          <cell r="P68">
            <v>-2684824.28561325</v>
          </cell>
          <cell r="Q68">
            <v>-2684824.28561325</v>
          </cell>
          <cell r="R68">
            <v>-2684824.28561325</v>
          </cell>
          <cell r="T68">
            <v>-32217891.427359</v>
          </cell>
        </row>
      </sheetData>
      <sheetData sheetId="15">
        <row r="56">
          <cell r="C56">
            <v>41183</v>
          </cell>
          <cell r="K56">
            <v>1976277.0938441218</v>
          </cell>
          <cell r="P56">
            <v>4690066.9015139276</v>
          </cell>
        </row>
        <row r="57">
          <cell r="C57">
            <v>41214</v>
          </cell>
          <cell r="K57">
            <v>2010847.9308816481</v>
          </cell>
          <cell r="P57">
            <v>4775455.1170078376</v>
          </cell>
        </row>
        <row r="58">
          <cell r="C58">
            <v>41244</v>
          </cell>
          <cell r="K58">
            <v>2197098.3608256471</v>
          </cell>
          <cell r="P58">
            <v>5251893.9766838877</v>
          </cell>
        </row>
        <row r="59">
          <cell r="C59">
            <v>41275</v>
          </cell>
          <cell r="K59">
            <v>2289592.7340794322</v>
          </cell>
          <cell r="P59">
            <v>5537993.4325049315</v>
          </cell>
        </row>
        <row r="60">
          <cell r="C60">
            <v>41306</v>
          </cell>
          <cell r="K60">
            <v>1958995.1554636715</v>
          </cell>
          <cell r="P60">
            <v>4694130.7904573753</v>
          </cell>
        </row>
        <row r="61">
          <cell r="C61">
            <v>41334</v>
          </cell>
          <cell r="K61">
            <v>2002423.945246537</v>
          </cell>
          <cell r="P61">
            <v>4775906.9953917917</v>
          </cell>
        </row>
        <row r="62">
          <cell r="C62">
            <v>41365</v>
          </cell>
          <cell r="K62">
            <v>1863136.3669988008</v>
          </cell>
          <cell r="P62">
            <v>4444182.6452520639</v>
          </cell>
        </row>
        <row r="63">
          <cell r="C63">
            <v>41395</v>
          </cell>
          <cell r="K63">
            <v>1989009.0236021804</v>
          </cell>
          <cell r="P63">
            <v>4718843.5294123869</v>
          </cell>
        </row>
        <row r="64">
          <cell r="C64">
            <v>41426</v>
          </cell>
          <cell r="K64">
            <v>2253194.569444031</v>
          </cell>
          <cell r="P64">
            <v>5107931.4761236552</v>
          </cell>
        </row>
        <row r="65">
          <cell r="C65">
            <v>41456</v>
          </cell>
          <cell r="K65">
            <v>2606668.7624878287</v>
          </cell>
          <cell r="P65">
            <v>5753854.0312629398</v>
          </cell>
        </row>
        <row r="66">
          <cell r="C66">
            <v>41487</v>
          </cell>
          <cell r="K66">
            <v>2534145.5917230691</v>
          </cell>
          <cell r="P66">
            <v>5500012.830591796</v>
          </cell>
        </row>
        <row r="67">
          <cell r="C67">
            <v>41518</v>
          </cell>
          <cell r="K67">
            <v>2078667.0902373211</v>
          </cell>
          <cell r="P67">
            <v>4697661.1751809288</v>
          </cell>
        </row>
      </sheetData>
      <sheetData sheetId="16"/>
      <sheetData sheetId="17">
        <row r="9">
          <cell r="E9">
            <v>41275</v>
          </cell>
          <cell r="F9">
            <v>41306</v>
          </cell>
          <cell r="G9">
            <v>41334</v>
          </cell>
          <cell r="H9">
            <v>41365</v>
          </cell>
          <cell r="I9">
            <v>41395</v>
          </cell>
          <cell r="J9">
            <v>41426</v>
          </cell>
          <cell r="K9">
            <v>41456</v>
          </cell>
          <cell r="L9">
            <v>41487</v>
          </cell>
          <cell r="M9">
            <v>41518</v>
          </cell>
          <cell r="N9">
            <v>41548</v>
          </cell>
          <cell r="O9">
            <v>41579</v>
          </cell>
          <cell r="P9">
            <v>41609</v>
          </cell>
          <cell r="R9" t="str">
            <v>Total</v>
          </cell>
        </row>
        <row r="15">
          <cell r="C15" t="str">
            <v>Total Utah Retail Sales</v>
          </cell>
          <cell r="E15">
            <v>2173452.7712499998</v>
          </cell>
          <cell r="F15">
            <v>1855635.5090000001</v>
          </cell>
          <cell r="G15">
            <v>1852861.6630000002</v>
          </cell>
          <cell r="H15">
            <v>1787471.3160000001</v>
          </cell>
          <cell r="I15">
            <v>1915852.9779999999</v>
          </cell>
          <cell r="J15">
            <v>2147223.4752500001</v>
          </cell>
          <cell r="K15">
            <v>2336350.3054999998</v>
          </cell>
          <cell r="L15">
            <v>2443953.0180000002</v>
          </cell>
          <cell r="M15">
            <v>1975610.0169999998</v>
          </cell>
          <cell r="N15">
            <v>0</v>
          </cell>
          <cell r="O15">
            <v>0</v>
          </cell>
          <cell r="P15">
            <v>0</v>
          </cell>
          <cell r="R15">
            <v>18488411.052999999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8"/>
  <sheetViews>
    <sheetView showGridLines="0" tabSelected="1" zoomScale="60" zoomScaleNormal="60" workbookViewId="0">
      <selection activeCell="C14" sqref="C14"/>
    </sheetView>
  </sheetViews>
  <sheetFormatPr defaultColWidth="9.140625" defaultRowHeight="21" customHeight="1"/>
  <cols>
    <col min="1" max="1" width="11.42578125" style="3" customWidth="1"/>
    <col min="2" max="2" width="23.42578125" style="3" customWidth="1"/>
    <col min="3" max="3" width="153" style="3" customWidth="1"/>
    <col min="4" max="4" width="11.42578125" style="3" customWidth="1"/>
    <col min="5" max="16384" width="9.140625" style="3"/>
  </cols>
  <sheetData>
    <row r="1" spans="2:3" ht="21" customHeight="1">
      <c r="B1" s="1" t="s">
        <v>0</v>
      </c>
      <c r="C1" s="2"/>
    </row>
    <row r="2" spans="2:3" ht="21" customHeight="1">
      <c r="B2" s="4"/>
      <c r="C2" s="5"/>
    </row>
    <row r="4" spans="2:3" ht="21" customHeight="1">
      <c r="B4" s="6" t="s">
        <v>1</v>
      </c>
      <c r="C4" s="7" t="s">
        <v>2</v>
      </c>
    </row>
    <row r="5" spans="2:3" ht="21" customHeight="1">
      <c r="B5" s="6" t="s">
        <v>3</v>
      </c>
      <c r="C5" s="7" t="s">
        <v>4</v>
      </c>
    </row>
    <row r="6" spans="2:3" ht="21" customHeight="1">
      <c r="B6" s="8"/>
      <c r="C6" s="9"/>
    </row>
    <row r="7" spans="2:3" ht="21" customHeight="1">
      <c r="B7" s="10"/>
      <c r="C7" s="11"/>
    </row>
    <row r="8" spans="2:3" ht="21" customHeight="1">
      <c r="B8" s="10" t="s">
        <v>5</v>
      </c>
      <c r="C8" s="12" t="s">
        <v>6</v>
      </c>
    </row>
    <row r="9" spans="2:3" ht="21" customHeight="1">
      <c r="B9" s="10"/>
      <c r="C9" s="12"/>
    </row>
    <row r="10" spans="2:3" ht="21" customHeight="1">
      <c r="B10" s="10" t="s">
        <v>7</v>
      </c>
      <c r="C10" s="12" t="s">
        <v>8</v>
      </c>
    </row>
    <row r="11" spans="2:3" ht="21" customHeight="1">
      <c r="B11" s="10"/>
      <c r="C11" s="12"/>
    </row>
    <row r="12" spans="2:3" ht="21" customHeight="1">
      <c r="B12" s="10" t="s">
        <v>9</v>
      </c>
      <c r="C12" s="12" t="s">
        <v>10</v>
      </c>
    </row>
    <row r="13" spans="2:3" ht="21" customHeight="1">
      <c r="B13" s="10"/>
      <c r="C13" s="12"/>
    </row>
    <row r="14" spans="2:3" ht="21" customHeight="1">
      <c r="B14" s="10" t="s">
        <v>11</v>
      </c>
      <c r="C14" s="12" t="s">
        <v>12</v>
      </c>
    </row>
    <row r="15" spans="2:3" ht="21" customHeight="1">
      <c r="B15" s="10"/>
      <c r="C15" s="12"/>
    </row>
    <row r="16" spans="2:3" ht="21" customHeight="1">
      <c r="B16" s="10" t="s">
        <v>13</v>
      </c>
      <c r="C16" s="12" t="s">
        <v>14</v>
      </c>
    </row>
    <row r="17" spans="2:3" ht="21" customHeight="1">
      <c r="B17" s="13" t="str">
        <f>"(5.1)"</f>
        <v>(5.1)</v>
      </c>
      <c r="C17" s="11" t="s">
        <v>15</v>
      </c>
    </row>
    <row r="18" spans="2:3" ht="21" customHeight="1">
      <c r="B18" s="13" t="str">
        <f>+TEXT(VALUE(MID(B17,2,LEN(B17)-2))+0.1,"(0.0)")</f>
        <v>(5.2)</v>
      </c>
      <c r="C18" s="11" t="s">
        <v>16</v>
      </c>
    </row>
    <row r="19" spans="2:3" ht="21" customHeight="1">
      <c r="B19" s="13" t="str">
        <f t="shared" ref="B19:B21" si="0">+TEXT(VALUE(MID(B18,2,LEN(B18)-2))+0.1,"(0.0)")</f>
        <v>(5.3)</v>
      </c>
      <c r="C19" s="11" t="s">
        <v>17</v>
      </c>
    </row>
    <row r="20" spans="2:3" ht="21" customHeight="1">
      <c r="B20" s="13" t="str">
        <f t="shared" si="0"/>
        <v>(5.4)</v>
      </c>
      <c r="C20" s="11" t="s">
        <v>18</v>
      </c>
    </row>
    <row r="21" spans="2:3" ht="21" customHeight="1">
      <c r="B21" s="13" t="str">
        <f t="shared" si="0"/>
        <v>(5.5)</v>
      </c>
      <c r="C21" s="11" t="s">
        <v>19</v>
      </c>
    </row>
    <row r="22" spans="2:3" ht="21" customHeight="1">
      <c r="B22" s="13"/>
      <c r="C22" s="11"/>
    </row>
    <row r="23" spans="2:3" ht="21" customHeight="1">
      <c r="B23" s="10" t="s">
        <v>20</v>
      </c>
      <c r="C23" s="12" t="s">
        <v>21</v>
      </c>
    </row>
    <row r="24" spans="2:3" ht="21" customHeight="1">
      <c r="B24" s="14" t="str">
        <f>"(6.1)"</f>
        <v>(6.1)</v>
      </c>
      <c r="C24" s="11" t="s">
        <v>22</v>
      </c>
    </row>
    <row r="25" spans="2:3" ht="21" customHeight="1">
      <c r="B25" s="13" t="str">
        <f>+TEXT(VALUE(MID(B24,2,LEN(B24)-2))+0.1,"(0.0)")</f>
        <v>(6.2)</v>
      </c>
      <c r="C25" s="11" t="s">
        <v>23</v>
      </c>
    </row>
    <row r="26" spans="2:3" ht="21" customHeight="1">
      <c r="B26" s="13" t="str">
        <f t="shared" ref="B26" si="1">+TEXT(VALUE(MID(B25,2,LEN(B25)-2))+0.1,"(0.0)")</f>
        <v>(6.3)</v>
      </c>
      <c r="C26" s="11" t="s">
        <v>24</v>
      </c>
    </row>
    <row r="27" spans="2:3" ht="21" customHeight="1">
      <c r="B27" s="13" t="str">
        <f>+TEXT(VALUE(MID(B26,2,LEN(B26)-2))+0.1,"(0.0)")</f>
        <v>(6.4)</v>
      </c>
      <c r="C27" s="11" t="s">
        <v>25</v>
      </c>
    </row>
    <row r="28" spans="2:3" ht="21" customHeight="1">
      <c r="B28" s="13"/>
    </row>
    <row r="29" spans="2:3" ht="21" customHeight="1">
      <c r="B29" s="10" t="s">
        <v>26</v>
      </c>
      <c r="C29" s="12" t="s">
        <v>27</v>
      </c>
    </row>
    <row r="30" spans="2:3" ht="21" customHeight="1">
      <c r="B30" s="14" t="str">
        <f>"(7.1)"</f>
        <v>(7.1)</v>
      </c>
      <c r="C30" s="11" t="s">
        <v>28</v>
      </c>
    </row>
    <row r="31" spans="2:3" ht="21" customHeight="1">
      <c r="B31" s="13"/>
    </row>
    <row r="32" spans="2:3" ht="21" customHeight="1">
      <c r="B32" s="15" t="s">
        <v>29</v>
      </c>
      <c r="C32" s="7" t="s">
        <v>30</v>
      </c>
    </row>
    <row r="33" spans="2:3" ht="21" customHeight="1">
      <c r="B33" s="14" t="str">
        <f>"(8.1)"</f>
        <v>(8.1)</v>
      </c>
      <c r="C33" s="3" t="s">
        <v>31</v>
      </c>
    </row>
    <row r="34" spans="2:3" ht="21" customHeight="1">
      <c r="B34" s="13" t="str">
        <f>+TEXT(VALUE(MID(B33,2,LEN(B33)-2))+0.1,"(0.0)")</f>
        <v>(8.2)</v>
      </c>
      <c r="C34" s="3" t="s">
        <v>32</v>
      </c>
    </row>
    <row r="35" spans="2:3" ht="21" customHeight="1">
      <c r="B35" s="13" t="str">
        <f>+TEXT(VALUE(MID(B34,2,LEN(B34)-2))+0.1,"(0.0)")</f>
        <v>(8.3)</v>
      </c>
      <c r="C35" s="3" t="s">
        <v>33</v>
      </c>
    </row>
    <row r="36" spans="2:3" ht="21" customHeight="1">
      <c r="B36" s="10"/>
      <c r="C36" s="12"/>
    </row>
    <row r="38" spans="2:3" ht="21" customHeight="1">
      <c r="B38" s="13"/>
    </row>
  </sheetData>
  <pageMargins left="0.25" right="0.25" top="0.5" bottom="0.25" header="0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0"/>
  <sheetViews>
    <sheetView showGridLines="0" view="pageBreakPreview" zoomScale="90" zoomScaleNormal="90" zoomScaleSheetLayoutView="90" workbookViewId="0">
      <selection activeCell="C14" sqref="C14"/>
    </sheetView>
  </sheetViews>
  <sheetFormatPr defaultColWidth="9.140625" defaultRowHeight="15.75" customHeight="1"/>
  <cols>
    <col min="1" max="1" width="5.5703125" style="22" customWidth="1"/>
    <col min="2" max="2" width="38" style="17" customWidth="1"/>
    <col min="3" max="3" width="2.28515625" style="18" customWidth="1"/>
    <col min="4" max="4" width="25.140625" style="19" customWidth="1"/>
    <col min="5" max="5" width="2.28515625" style="18" customWidth="1"/>
    <col min="6" max="7" width="11.42578125" style="18" customWidth="1"/>
    <col min="8" max="8" width="12.28515625" style="18" bestFit="1" customWidth="1"/>
    <col min="9" max="9" width="11.42578125" style="18" customWidth="1"/>
    <col min="10" max="10" width="11.5703125" style="18" customWidth="1"/>
    <col min="11" max="11" width="11.7109375" style="18" customWidth="1"/>
    <col min="12" max="13" width="11.42578125" style="18" customWidth="1"/>
    <col min="14" max="14" width="12.140625" style="18" bestFit="1" customWidth="1"/>
    <col min="15" max="17" width="11.42578125" style="18" customWidth="1"/>
    <col min="18" max="18" width="2.28515625" style="18" customWidth="1"/>
    <col min="19" max="19" width="12.5703125" style="18" bestFit="1" customWidth="1"/>
    <col min="20" max="20" width="2.28515625" style="18" customWidth="1"/>
    <col min="21" max="21" width="18" style="21" customWidth="1"/>
    <col min="22" max="22" width="12" style="18" customWidth="1"/>
    <col min="23" max="23" width="9.7109375" style="18" customWidth="1"/>
    <col min="24" max="16384" width="9.140625" style="18"/>
  </cols>
  <sheetData>
    <row r="1" spans="1:22" ht="15.75" customHeight="1">
      <c r="A1" s="16" t="str">
        <f>+'Workpaper Index'!C4</f>
        <v>Utah Energy Balancing Account Mechanism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2" ht="15.75" customHeight="1">
      <c r="A2" s="16" t="str">
        <f>+'Workpaper Index'!C5</f>
        <v>January 1, 2013 - December 31, 2013</v>
      </c>
    </row>
    <row r="3" spans="1:22" ht="15.75" customHeight="1">
      <c r="A3" s="16" t="str">
        <f>+'Workpaper Index'!B8&amp;" - "&amp;'Workpaper Index'!C8</f>
        <v>Exhibit 1 - Stipulated Scalar Energy Balancing Account Calculation</v>
      </c>
    </row>
    <row r="4" spans="1:22" ht="15.75" customHeight="1"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2" ht="15.75" customHeight="1">
      <c r="A5" s="18"/>
      <c r="B5" s="24"/>
    </row>
    <row r="6" spans="1:22" ht="25.5">
      <c r="A6" s="25" t="s">
        <v>34</v>
      </c>
      <c r="B6" s="26"/>
      <c r="D6" s="27" t="s">
        <v>35</v>
      </c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S6" s="28" t="s">
        <v>36</v>
      </c>
      <c r="T6" s="29"/>
    </row>
    <row r="7" spans="1:22" ht="15.75" customHeight="1">
      <c r="A7" s="30"/>
      <c r="B7" s="24"/>
      <c r="D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S7" s="32"/>
      <c r="T7" s="33"/>
      <c r="U7" s="34"/>
      <c r="V7" s="35"/>
    </row>
    <row r="8" spans="1:22" ht="15.75" customHeight="1">
      <c r="A8" s="36" t="s">
        <v>37</v>
      </c>
      <c r="D8" s="31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S8" s="33"/>
      <c r="T8" s="33"/>
      <c r="U8" s="34"/>
      <c r="V8" s="35"/>
    </row>
    <row r="9" spans="1:22" ht="15.75" customHeight="1"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S9" s="37"/>
      <c r="T9" s="33"/>
      <c r="U9" s="34"/>
      <c r="V9" s="35"/>
    </row>
    <row r="10" spans="1:22" ht="15.75" customHeight="1">
      <c r="A10" s="22">
        <f>+MAX($A$1:A9)+1</f>
        <v>1</v>
      </c>
      <c r="B10" s="31" t="s">
        <v>38</v>
      </c>
      <c r="D10" s="38" t="str">
        <f>+'Workpaper Index'!$B$17</f>
        <v>(5.1)</v>
      </c>
      <c r="E10" s="35"/>
      <c r="F10" s="39">
        <f>+'[4](5.1) UT Allocated Actual NPC'!I38</f>
        <v>135238318.38999996</v>
      </c>
      <c r="G10" s="39">
        <f>+'[4](5.1) UT Allocated Actual NPC'!J38</f>
        <v>115956044.68000002</v>
      </c>
      <c r="H10" s="39">
        <f>+'[4](5.1) UT Allocated Actual NPC'!K38</f>
        <v>120157156.65000002</v>
      </c>
      <c r="I10" s="39">
        <f>+'[4](5.1) UT Allocated Actual NPC'!L38</f>
        <v>110114207.72</v>
      </c>
      <c r="J10" s="39">
        <f>+'[4](5.1) UT Allocated Actual NPC'!M38</f>
        <v>118957321.69999999</v>
      </c>
      <c r="K10" s="39">
        <f>+'[4](5.1) UT Allocated Actual NPC'!N38</f>
        <v>130439112.24000001</v>
      </c>
      <c r="L10" s="39">
        <f>+'[4](5.1) UT Allocated Actual NPC'!O38</f>
        <v>174859252.37999997</v>
      </c>
      <c r="M10" s="39">
        <f>+'[4](5.1) UT Allocated Actual NPC'!P38</f>
        <v>157727766.36000001</v>
      </c>
      <c r="N10" s="39">
        <f>+'[4](5.1) UT Allocated Actual NPC'!Q38</f>
        <v>140528924.52000001</v>
      </c>
      <c r="O10" s="39">
        <f>+'[4](5.1) UT Allocated Actual NPC'!R38</f>
        <v>0</v>
      </c>
      <c r="P10" s="39">
        <f>+'[4](5.1) UT Allocated Actual NPC'!S38</f>
        <v>0</v>
      </c>
      <c r="Q10" s="39">
        <f>+'[4](5.1) UT Allocated Actual NPC'!T38</f>
        <v>0</v>
      </c>
      <c r="S10" s="39">
        <f>+SUM(F10:Q10)</f>
        <v>1203978104.6400001</v>
      </c>
      <c r="T10" s="33"/>
      <c r="U10" s="40"/>
      <c r="V10" s="35"/>
    </row>
    <row r="11" spans="1:22" ht="15.75" customHeight="1">
      <c r="A11" s="22">
        <f>+MAX($A$1:A10)+1</f>
        <v>2</v>
      </c>
      <c r="B11" s="31" t="s">
        <v>39</v>
      </c>
      <c r="D11" s="38" t="str">
        <f>+'Workpaper Index'!$B$33</f>
        <v>(8.1)</v>
      </c>
      <c r="E11" s="35"/>
      <c r="F11" s="41">
        <f>+INDEX('[4](8.1) Actual Factors'!$P$56:$P$67,MATCH(F$6,'[4](8.1) Actual Factors'!$C$56:$C$67,0))</f>
        <v>5537993.4325049315</v>
      </c>
      <c r="G11" s="41">
        <f>+INDEX('[4](8.1) Actual Factors'!$P$56:$P$67,MATCH(G$6,'[4](8.1) Actual Factors'!$C$56:$C$67,0))</f>
        <v>4694130.7904573753</v>
      </c>
      <c r="H11" s="41">
        <f>+INDEX('[4](8.1) Actual Factors'!$P$56:$P$67,MATCH(H$6,'[4](8.1) Actual Factors'!$C$56:$C$67,0))</f>
        <v>4775906.9953917917</v>
      </c>
      <c r="I11" s="41">
        <f>+INDEX('[4](8.1) Actual Factors'!$P$56:$P$67,MATCH(I$6,'[4](8.1) Actual Factors'!$C$56:$C$67,0))</f>
        <v>4444182.6452520639</v>
      </c>
      <c r="J11" s="41">
        <f>+INDEX('[4](8.1) Actual Factors'!$P$56:$P$67,MATCH(J$6,'[4](8.1) Actual Factors'!$C$56:$C$67,0))</f>
        <v>4718843.5294123869</v>
      </c>
      <c r="K11" s="41">
        <f>+INDEX('[4](8.1) Actual Factors'!$P$56:$P$67,MATCH(K$6,'[4](8.1) Actual Factors'!$C$56:$C$67,0))</f>
        <v>5107931.4761236552</v>
      </c>
      <c r="L11" s="41">
        <f>+INDEX('[4](8.1) Actual Factors'!$P$56:$P$67,MATCH(L$6,'[4](8.1) Actual Factors'!$C$56:$C$67,0))</f>
        <v>5753854.0312629398</v>
      </c>
      <c r="M11" s="41">
        <f>+INDEX('[4](8.1) Actual Factors'!$P$56:$P$67,MATCH(M$6,'[4](8.1) Actual Factors'!$C$56:$C$67,0))</f>
        <v>5500012.830591796</v>
      </c>
      <c r="N11" s="41">
        <f>+INDEX('[4](8.1) Actual Factors'!$P$56:$P$67,MATCH(N$6,'[4](8.1) Actual Factors'!$C$56:$C$67,0))</f>
        <v>4697661.1751809288</v>
      </c>
      <c r="O11" s="41"/>
      <c r="P11" s="41"/>
      <c r="Q11" s="41"/>
      <c r="R11" s="41"/>
      <c r="S11" s="41">
        <f>+SUM(F11:Q11)</f>
        <v>45230516.906177871</v>
      </c>
      <c r="T11" s="33"/>
      <c r="U11" s="34"/>
      <c r="V11" s="35"/>
    </row>
    <row r="12" spans="1:22" ht="15.75" customHeight="1">
      <c r="A12" s="22">
        <f>+MAX($A$1:A11)+1</f>
        <v>3</v>
      </c>
      <c r="B12" s="31" t="s">
        <v>40</v>
      </c>
      <c r="D12" s="42" t="str">
        <f>"Line "&amp; $A$10&amp;" / Line "&amp;$A$11&amp;""</f>
        <v>Line 1 / Line 2</v>
      </c>
      <c r="E12" s="35"/>
      <c r="F12" s="43">
        <f>+F10/F11</f>
        <v>24.420093674403166</v>
      </c>
      <c r="G12" s="43">
        <f t="shared" ref="G12:S12" si="1">+G10/G11</f>
        <v>24.702346367452147</v>
      </c>
      <c r="H12" s="43">
        <f t="shared" si="1"/>
        <v>25.159023566819464</v>
      </c>
      <c r="I12" s="43">
        <f t="shared" si="1"/>
        <v>24.777156230885414</v>
      </c>
      <c r="J12" s="43">
        <f t="shared" si="1"/>
        <v>25.208998975817519</v>
      </c>
      <c r="K12" s="43">
        <f t="shared" si="1"/>
        <v>25.536582244636651</v>
      </c>
      <c r="L12" s="43">
        <f t="shared" si="1"/>
        <v>30.389935411972782</v>
      </c>
      <c r="M12" s="43">
        <f t="shared" si="1"/>
        <v>28.677708801459044</v>
      </c>
      <c r="N12" s="43">
        <f t="shared" si="1"/>
        <v>29.914657375132549</v>
      </c>
      <c r="O12" s="43"/>
      <c r="P12" s="43"/>
      <c r="Q12" s="43"/>
      <c r="S12" s="43">
        <f t="shared" si="1"/>
        <v>26.618712033236861</v>
      </c>
      <c r="T12" s="33"/>
      <c r="U12" s="34"/>
      <c r="V12" s="35"/>
    </row>
    <row r="13" spans="1:22" ht="15.75" customHeight="1">
      <c r="B13" s="31"/>
      <c r="D13" s="42"/>
      <c r="E13" s="3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S13" s="39"/>
      <c r="T13" s="33"/>
      <c r="U13" s="34"/>
      <c r="V13" s="35"/>
    </row>
    <row r="14" spans="1:22" ht="15.75" customHeight="1">
      <c r="A14" s="22">
        <f>+MAX($A$1:A13)+1</f>
        <v>4</v>
      </c>
      <c r="B14" s="31" t="s">
        <v>32</v>
      </c>
      <c r="D14" s="42" t="s">
        <v>41</v>
      </c>
      <c r="E14" s="35"/>
      <c r="F14" s="44">
        <v>1.0023361945349345</v>
      </c>
      <c r="G14" s="44">
        <f>+F14</f>
        <v>1.0023361945349345</v>
      </c>
      <c r="H14" s="44">
        <f>+G14</f>
        <v>1.0023361945349345</v>
      </c>
      <c r="I14" s="44">
        <f t="shared" ref="I14:N14" si="2">+H14</f>
        <v>1.0023361945349345</v>
      </c>
      <c r="J14" s="44">
        <f t="shared" si="2"/>
        <v>1.0023361945349345</v>
      </c>
      <c r="K14" s="44">
        <f t="shared" si="2"/>
        <v>1.0023361945349345</v>
      </c>
      <c r="L14" s="44">
        <f t="shared" si="2"/>
        <v>1.0023361945349345</v>
      </c>
      <c r="M14" s="44">
        <f t="shared" si="2"/>
        <v>1.0023361945349345</v>
      </c>
      <c r="N14" s="44">
        <f t="shared" si="2"/>
        <v>1.0023361945349345</v>
      </c>
      <c r="O14" s="44"/>
      <c r="P14" s="44"/>
      <c r="Q14" s="44"/>
      <c r="S14" s="44">
        <f>+H14</f>
        <v>1.0023361945349345</v>
      </c>
      <c r="T14" s="33"/>
      <c r="U14" s="34"/>
      <c r="V14" s="35"/>
    </row>
    <row r="15" spans="1:22" ht="15.75" customHeight="1">
      <c r="B15" s="31"/>
      <c r="D15" s="42"/>
      <c r="E15" s="35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S15" s="39"/>
      <c r="T15" s="33"/>
      <c r="U15" s="34"/>
      <c r="V15" s="35"/>
    </row>
    <row r="16" spans="1:22" ht="15.75" customHeight="1">
      <c r="A16" s="22">
        <f>+MAX($A$1:A15)+1</f>
        <v>5</v>
      </c>
      <c r="B16" s="31" t="s">
        <v>42</v>
      </c>
      <c r="D16" s="42" t="str">
        <f>"Line "&amp; $A$14&amp;" * Line "&amp;$A$16&amp;""</f>
        <v>Line 4 * Line 5</v>
      </c>
      <c r="E16" s="35"/>
      <c r="F16" s="43">
        <f>+F12*F14</f>
        <v>24.477143763787893</v>
      </c>
      <c r="G16" s="43">
        <f t="shared" ref="G16:S16" si="3">+G12*G14</f>
        <v>24.760055854035848</v>
      </c>
      <c r="H16" s="43">
        <f t="shared" si="3"/>
        <v>25.217799940180555</v>
      </c>
      <c r="I16" s="43">
        <f t="shared" si="3"/>
        <v>24.835040487863225</v>
      </c>
      <c r="J16" s="43">
        <f t="shared" si="3"/>
        <v>25.267892101455992</v>
      </c>
      <c r="K16" s="43">
        <f t="shared" si="3"/>
        <v>25.596240668517478</v>
      </c>
      <c r="L16" s="43">
        <f t="shared" si="3"/>
        <v>30.460932212999246</v>
      </c>
      <c r="M16" s="43">
        <f t="shared" si="3"/>
        <v>28.744705508035455</v>
      </c>
      <c r="N16" s="43">
        <f t="shared" si="3"/>
        <v>29.984543834206772</v>
      </c>
      <c r="O16" s="43"/>
      <c r="P16" s="43"/>
      <c r="Q16" s="43"/>
      <c r="S16" s="43">
        <f t="shared" si="3"/>
        <v>26.680898522815905</v>
      </c>
      <c r="T16" s="33"/>
      <c r="U16" s="34"/>
      <c r="V16" s="35"/>
    </row>
    <row r="17" spans="1:22" ht="15.75" customHeight="1">
      <c r="B17" s="31"/>
      <c r="D17" s="42"/>
      <c r="E17" s="35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39"/>
      <c r="T17" s="33"/>
      <c r="U17" s="34"/>
      <c r="V17" s="35"/>
    </row>
    <row r="18" spans="1:22" ht="15.75" customHeight="1">
      <c r="A18" s="22">
        <f>+MAX($A$1:A17)+1</f>
        <v>6</v>
      </c>
      <c r="B18" s="31" t="s">
        <v>43</v>
      </c>
      <c r="D18" s="38" t="str">
        <f>+'Workpaper Index'!$B$33</f>
        <v>(8.1)</v>
      </c>
      <c r="E18" s="35"/>
      <c r="F18" s="39">
        <f>+INDEX('[4](8.1) Actual Factors'!$K$56:$K$67,MATCH(F$6,'[4](8.1) Actual Factors'!$C$56:$C$67,0))</f>
        <v>2289592.7340794322</v>
      </c>
      <c r="G18" s="39">
        <f>+INDEX('[4](8.1) Actual Factors'!$K$56:$K$67,MATCH(G$6,'[4](8.1) Actual Factors'!$C$56:$C$67,0))</f>
        <v>1958995.1554636715</v>
      </c>
      <c r="H18" s="39">
        <f>+INDEX('[4](8.1) Actual Factors'!$K$56:$K$67,MATCH(H$6,'[4](8.1) Actual Factors'!$C$56:$C$67,0))</f>
        <v>2002423.945246537</v>
      </c>
      <c r="I18" s="39">
        <f>+INDEX('[4](8.1) Actual Factors'!$K$56:$K$67,MATCH(I$6,'[4](8.1) Actual Factors'!$C$56:$C$67,0))</f>
        <v>1863136.3669988008</v>
      </c>
      <c r="J18" s="39">
        <f>+INDEX('[4](8.1) Actual Factors'!$K$56:$K$67,MATCH(J$6,'[4](8.1) Actual Factors'!$C$56:$C$67,0))</f>
        <v>1989009.0236021804</v>
      </c>
      <c r="K18" s="39">
        <f>+INDEX('[4](8.1) Actual Factors'!$K$56:$K$67,MATCH(K$6,'[4](8.1) Actual Factors'!$C$56:$C$67,0))</f>
        <v>2253194.569444031</v>
      </c>
      <c r="L18" s="39">
        <f>+INDEX('[4](8.1) Actual Factors'!$K$56:$K$67,MATCH(L$6,'[4](8.1) Actual Factors'!$C$56:$C$67,0))</f>
        <v>2606668.7624878287</v>
      </c>
      <c r="M18" s="39">
        <f>+INDEX('[4](8.1) Actual Factors'!$K$56:$K$67,MATCH(M$6,'[4](8.1) Actual Factors'!$C$56:$C$67,0))</f>
        <v>2534145.5917230691</v>
      </c>
      <c r="N18" s="39">
        <f>+INDEX('[4](8.1) Actual Factors'!$K$56:$K$67,MATCH(N$6,'[4](8.1) Actual Factors'!$C$56:$C$67,0))</f>
        <v>2078667.0902373211</v>
      </c>
      <c r="O18" s="39"/>
      <c r="P18" s="39"/>
      <c r="Q18" s="39"/>
      <c r="S18" s="39">
        <f>+SUM(F18:Q18)</f>
        <v>19575833.239282869</v>
      </c>
      <c r="T18" s="33"/>
      <c r="U18" s="34"/>
      <c r="V18" s="35"/>
    </row>
    <row r="19" spans="1:22" ht="15.75" customHeight="1">
      <c r="B19" s="31"/>
      <c r="D19" s="42"/>
      <c r="E19" s="3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S19" s="39"/>
      <c r="T19" s="33"/>
      <c r="U19" s="34"/>
      <c r="V19" s="35"/>
    </row>
    <row r="20" spans="1:22" ht="15.75" customHeight="1">
      <c r="A20" s="22">
        <f>+MAX($A$1:A19)+1</f>
        <v>7</v>
      </c>
      <c r="B20" s="31" t="s">
        <v>44</v>
      </c>
      <c r="D20" s="42" t="str">
        <f>"Line "&amp; $A$16&amp;" * Line "&amp;$A$18&amp;""</f>
        <v>Line 5 * Line 6</v>
      </c>
      <c r="E20" s="35"/>
      <c r="F20" s="39">
        <f>+F16*F18</f>
        <v>56042690.512586445</v>
      </c>
      <c r="G20" s="39">
        <f t="shared" ref="G20:N20" si="4">+G16*G18</f>
        <v>48504829.467066146</v>
      </c>
      <c r="H20" s="45">
        <f>+H16*H18</f>
        <v>50496726.44665423</v>
      </c>
      <c r="I20" s="39">
        <f t="shared" si="4"/>
        <v>46271067.108825617</v>
      </c>
      <c r="J20" s="39">
        <f t="shared" si="4"/>
        <v>50258065.397202231</v>
      </c>
      <c r="K20" s="39">
        <f t="shared" si="4"/>
        <v>57673310.472486034</v>
      </c>
      <c r="L20" s="39">
        <f t="shared" si="4"/>
        <v>79401560.475884378</v>
      </c>
      <c r="M20" s="39">
        <f t="shared" si="4"/>
        <v>72843268.748565868</v>
      </c>
      <c r="N20" s="39">
        <f t="shared" si="4"/>
        <v>62327884.483943999</v>
      </c>
      <c r="O20" s="39"/>
      <c r="P20" s="39"/>
      <c r="Q20" s="39"/>
      <c r="S20" s="39">
        <f>+SUM(F20:Q20)</f>
        <v>523819403.11321491</v>
      </c>
      <c r="T20" s="33"/>
      <c r="U20" s="46"/>
      <c r="V20" s="35"/>
    </row>
    <row r="21" spans="1:22" ht="15.75" customHeight="1">
      <c r="A21" s="22">
        <f>+MAX($A$1:A20)+1</f>
        <v>8</v>
      </c>
      <c r="B21" s="31" t="s">
        <v>45</v>
      </c>
      <c r="D21" s="38" t="str">
        <f>+'Workpaper Index'!$B$30</f>
        <v>(7.1)</v>
      </c>
      <c r="E21" s="35"/>
      <c r="F21" s="41">
        <f>+'[4](7.1) Wheeling Revenues'!G$54</f>
        <v>-2631831.6499509481</v>
      </c>
      <c r="G21" s="41">
        <f>+'[4](7.1) Wheeling Revenues'!H$54</f>
        <v>-2620482.5010365178</v>
      </c>
      <c r="H21" s="41">
        <f>+'[4](7.1) Wheeling Revenues'!I$54</f>
        <v>-2378893.449179153</v>
      </c>
      <c r="I21" s="41">
        <f>+'[4](7.1) Wheeling Revenues'!J$54</f>
        <v>-2777340.3790668081</v>
      </c>
      <c r="J21" s="41">
        <f>+'[4](7.1) Wheeling Revenues'!K$54</f>
        <v>-3665684.0571883535</v>
      </c>
      <c r="K21" s="41">
        <f>+'[4](7.1) Wheeling Revenues'!L$54</f>
        <v>-3454315.241065504</v>
      </c>
      <c r="L21" s="41">
        <f>+'[4](7.1) Wheeling Revenues'!M$54</f>
        <v>-3706470.9299448757</v>
      </c>
      <c r="M21" s="41">
        <f>+'[4](7.1) Wheeling Revenues'!N$54</f>
        <v>-3428572.1574649317</v>
      </c>
      <c r="N21" s="41">
        <f>+'[4](7.1) Wheeling Revenues'!O$54</f>
        <v>-3376409.3534651273</v>
      </c>
      <c r="O21" s="41"/>
      <c r="P21" s="41"/>
      <c r="Q21" s="41"/>
      <c r="S21" s="41">
        <f>+SUM(F21:Q21)</f>
        <v>-28039999.718362223</v>
      </c>
      <c r="T21" s="33"/>
      <c r="U21" s="34"/>
      <c r="V21" s="35"/>
    </row>
    <row r="22" spans="1:22" ht="15.75" customHeight="1">
      <c r="A22" s="22">
        <f>+MAX($A$1:A21)+1</f>
        <v>9</v>
      </c>
      <c r="B22" s="31" t="s">
        <v>46</v>
      </c>
      <c r="D22" s="42" t="str">
        <f>"Line "&amp; $A$20&amp;" + Line "&amp;$A$21&amp;""</f>
        <v>Line 7 + Line 8</v>
      </c>
      <c r="E22" s="35"/>
      <c r="F22" s="39">
        <f>+F20+F21</f>
        <v>53410858.862635493</v>
      </c>
      <c r="G22" s="39">
        <f t="shared" ref="G22:S22" si="5">+G20+G21</f>
        <v>45884346.966029629</v>
      </c>
      <c r="H22" s="39">
        <f t="shared" si="5"/>
        <v>48117832.99747508</v>
      </c>
      <c r="I22" s="39">
        <f t="shared" si="5"/>
        <v>43493726.729758807</v>
      </c>
      <c r="J22" s="39">
        <f t="shared" si="5"/>
        <v>46592381.340013877</v>
      </c>
      <c r="K22" s="39">
        <f t="shared" si="5"/>
        <v>54218995.231420532</v>
      </c>
      <c r="L22" s="39">
        <f t="shared" si="5"/>
        <v>75695089.545939505</v>
      </c>
      <c r="M22" s="39">
        <f t="shared" si="5"/>
        <v>69414696.591100931</v>
      </c>
      <c r="N22" s="39">
        <f t="shared" si="5"/>
        <v>58951475.130478874</v>
      </c>
      <c r="O22" s="39"/>
      <c r="P22" s="39"/>
      <c r="Q22" s="39"/>
      <c r="S22" s="39">
        <f t="shared" si="5"/>
        <v>495779403.3948527</v>
      </c>
      <c r="T22" s="33"/>
      <c r="U22" s="34"/>
      <c r="V22" s="35"/>
    </row>
    <row r="23" spans="1:22" ht="15.75" customHeight="1">
      <c r="B23" s="31"/>
      <c r="D23" s="42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S23" s="37"/>
      <c r="T23" s="33"/>
      <c r="U23" s="34"/>
      <c r="V23" s="35"/>
    </row>
    <row r="24" spans="1:22" ht="15.75" customHeight="1">
      <c r="A24" s="22">
        <f>+MAX($A$1:A23)+1</f>
        <v>10</v>
      </c>
      <c r="B24" s="31" t="s">
        <v>47</v>
      </c>
      <c r="D24" s="42" t="str">
        <f>+'Workpaper Index'!$B$33&amp;", "&amp;'Workpaper Index'!$B$35</f>
        <v>(8.1), (8.3)</v>
      </c>
      <c r="E24" s="35"/>
      <c r="F24" s="41">
        <f>+INDEX('[4](8.3) Utah Sales'!15:15,MATCH(F6,'[4](8.3) Utah Sales'!9:9,0))</f>
        <v>2173452.7712499998</v>
      </c>
      <c r="G24" s="41">
        <f>+INDEX('[4](8.3) Utah Sales'!15:15,MATCH(G6,'[4](8.3) Utah Sales'!9:9,0))</f>
        <v>1855635.5090000001</v>
      </c>
      <c r="H24" s="41">
        <f>+INDEX('[4](8.3) Utah Sales'!15:15,MATCH(H6,'[4](8.3) Utah Sales'!9:9,0))</f>
        <v>1852861.6630000002</v>
      </c>
      <c r="I24" s="41">
        <f>+INDEX('[4](8.3) Utah Sales'!15:15,MATCH(I6,'[4](8.3) Utah Sales'!9:9,0))</f>
        <v>1787471.3160000001</v>
      </c>
      <c r="J24" s="41">
        <f>+INDEX('[4](8.3) Utah Sales'!15:15,MATCH(J6,'[4](8.3) Utah Sales'!9:9,0))</f>
        <v>1915852.9779999999</v>
      </c>
      <c r="K24" s="41">
        <f>+INDEX('[4](8.3) Utah Sales'!15:15,MATCH(K6,'[4](8.3) Utah Sales'!9:9,0))</f>
        <v>2147223.4752500001</v>
      </c>
      <c r="L24" s="41">
        <f>+INDEX('[4](8.3) Utah Sales'!15:15,MATCH(L6,'[4](8.3) Utah Sales'!9:9,0))</f>
        <v>2336350.3054999998</v>
      </c>
      <c r="M24" s="41">
        <f>+INDEX('[4](8.3) Utah Sales'!15:15,MATCH(M6,'[4](8.3) Utah Sales'!9:9,0))</f>
        <v>2443953.0180000002</v>
      </c>
      <c r="N24" s="41">
        <f>+INDEX('[4](8.3) Utah Sales'!15:15,MATCH(N6,'[4](8.3) Utah Sales'!9:9,0))</f>
        <v>1975610.0169999998</v>
      </c>
      <c r="O24" s="41"/>
      <c r="P24" s="41"/>
      <c r="Q24" s="41"/>
      <c r="S24" s="41">
        <f>+SUM(F24:Q24)</f>
        <v>18488411.052999999</v>
      </c>
      <c r="T24" s="33"/>
      <c r="U24" s="47"/>
      <c r="V24" s="35"/>
    </row>
    <row r="25" spans="1:22" ht="15.75" customHeight="1">
      <c r="A25" s="22">
        <f>+MAX($A$1:A24)+1</f>
        <v>11</v>
      </c>
      <c r="B25" s="48" t="s">
        <v>48</v>
      </c>
      <c r="D25" s="42" t="str">
        <f>"Line "&amp;$A$22&amp;" / Line "&amp;$A$24&amp;""</f>
        <v>Line 9 / Line 10</v>
      </c>
      <c r="E25" s="35"/>
      <c r="F25" s="49">
        <f>+F22/F24</f>
        <v>24.574198054424595</v>
      </c>
      <c r="G25" s="49">
        <f t="shared" ref="G25:N25" si="6">+G22/G24</f>
        <v>24.727025724333469</v>
      </c>
      <c r="H25" s="49">
        <f t="shared" si="6"/>
        <v>25.969468718763746</v>
      </c>
      <c r="I25" s="49">
        <f t="shared" si="6"/>
        <v>24.332545278034999</v>
      </c>
      <c r="J25" s="49">
        <f t="shared" si="6"/>
        <v>24.319392915343986</v>
      </c>
      <c r="K25" s="49">
        <f t="shared" si="6"/>
        <v>25.250746303948564</v>
      </c>
      <c r="L25" s="49">
        <f t="shared" si="6"/>
        <v>32.398861321329157</v>
      </c>
      <c r="M25" s="49">
        <f t="shared" si="6"/>
        <v>28.402631343505199</v>
      </c>
      <c r="N25" s="49">
        <f t="shared" si="6"/>
        <v>29.839631619198698</v>
      </c>
      <c r="O25" s="49"/>
      <c r="P25" s="49"/>
      <c r="Q25" s="49"/>
      <c r="S25" s="49">
        <f>+S22/S24</f>
        <v>26.815684807830237</v>
      </c>
      <c r="T25" s="33"/>
      <c r="U25" s="34"/>
      <c r="V25" s="35"/>
    </row>
    <row r="26" spans="1:22" ht="15.75" customHeight="1">
      <c r="D26" s="4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S26" s="35"/>
      <c r="T26" s="33"/>
      <c r="U26" s="34"/>
      <c r="V26" s="35"/>
    </row>
    <row r="27" spans="1:22" ht="15.75" customHeight="1">
      <c r="A27" s="50" t="s">
        <v>49</v>
      </c>
      <c r="B27" s="51"/>
      <c r="C27" s="52"/>
      <c r="D27" s="4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S27" s="53"/>
      <c r="T27" s="33"/>
      <c r="U27" s="34"/>
      <c r="V27" s="35"/>
    </row>
    <row r="28" spans="1:22" ht="15.75" customHeight="1">
      <c r="A28" s="50"/>
      <c r="B28" s="51"/>
      <c r="C28" s="52"/>
      <c r="D28" s="4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S28" s="53"/>
      <c r="T28" s="33"/>
      <c r="U28" s="34"/>
      <c r="V28" s="35"/>
    </row>
    <row r="29" spans="1:22" ht="15.75" customHeight="1">
      <c r="A29" s="22">
        <f>+MAX($A$1:A28)+1</f>
        <v>12</v>
      </c>
      <c r="B29" s="31" t="s">
        <v>50</v>
      </c>
      <c r="C29" s="36"/>
      <c r="D29" s="38" t="str">
        <f>+'Workpaper Index'!$B$24</f>
        <v>(6.1)</v>
      </c>
      <c r="E29" s="54"/>
      <c r="F29" s="39">
        <f>+INDEX('[4](6.1) Prorated Base NPC'!$22:$22,1,MATCH(F$6,'[4](6.1) Prorated Base NPC'!$30:$30,0))</f>
        <v>50011065.137238234</v>
      </c>
      <c r="G29" s="39">
        <f>+INDEX('[4](6.1) Prorated Base NPC'!$22:$22,1,MATCH(G$6,'[4](6.1) Prorated Base NPC'!$30:$30,0))</f>
        <v>45985167.100023851</v>
      </c>
      <c r="H29" s="39">
        <f>+INDEX('[4](6.1) Prorated Base NPC'!$22:$22,1,MATCH(H$6,'[4](6.1) Prorated Base NPC'!$30:$30,0))</f>
        <v>49906973.15688844</v>
      </c>
      <c r="I29" s="39">
        <f>+INDEX('[4](6.1) Prorated Base NPC'!$22:$22,1,MATCH(I$6,'[4](6.1) Prorated Base NPC'!$30:$30,0))</f>
        <v>48917079.303698763</v>
      </c>
      <c r="J29" s="39">
        <f>+INDEX('[4](6.1) Prorated Base NPC'!$22:$22,1,MATCH(J$6,'[4](6.1) Prorated Base NPC'!$30:$30,0))</f>
        <v>52873367.693607651</v>
      </c>
      <c r="K29" s="39">
        <f>+INDEX('[4](6.1) Prorated Base NPC'!$22:$22,1,MATCH(K$6,'[4](6.1) Prorated Base NPC'!$30:$30,0))</f>
        <v>53728239.205889396</v>
      </c>
      <c r="L29" s="39">
        <f>+INDEX('[4](6.1) Prorated Base NPC'!$22:$22,1,MATCH(L$6,'[4](6.1) Prorated Base NPC'!$30:$30,0))</f>
        <v>63466696.84056095</v>
      </c>
      <c r="M29" s="39">
        <f>+INDEX('[4](6.1) Prorated Base NPC'!$22:$22,1,MATCH(M$6,'[4](6.1) Prorated Base NPC'!$30:$30,0))</f>
        <v>66758059.057229094</v>
      </c>
      <c r="N29" s="39">
        <f>+INDEX('[4](6.1) Prorated Base NPC'!$22:$22,1,MATCH(N$6,'[4](6.1) Prorated Base NPC'!$30:$30,0))</f>
        <v>57122257.463790625</v>
      </c>
      <c r="O29" s="39"/>
      <c r="P29" s="39"/>
      <c r="Q29" s="39"/>
      <c r="S29" s="39">
        <f>+SUM(F29:Q29)</f>
        <v>488768904.95892704</v>
      </c>
      <c r="T29" s="33"/>
      <c r="U29" s="55"/>
      <c r="V29" s="56"/>
    </row>
    <row r="30" spans="1:22" ht="15.75" customHeight="1">
      <c r="A30" s="22">
        <f>+MAX($A$1:A29)+1</f>
        <v>13</v>
      </c>
      <c r="B30" s="31" t="s">
        <v>51</v>
      </c>
      <c r="C30" s="36"/>
      <c r="D30" s="38" t="str">
        <f>+'Workpaper Index'!$B$30</f>
        <v>(7.1)</v>
      </c>
      <c r="E30" s="54"/>
      <c r="F30" s="39">
        <f>+INDEX('[4](7.1) Wheeling Revenues'!$68:$68,MATCH(F$6,'[4](7.1) Wheeling Revenues'!$10:$10,0))</f>
        <v>-2684824.28561325</v>
      </c>
      <c r="G30" s="39">
        <f>+INDEX('[4](7.1) Wheeling Revenues'!$68:$68,MATCH(G$6,'[4](7.1) Wheeling Revenues'!$10:$10,0))</f>
        <v>-2684824.28561325</v>
      </c>
      <c r="H30" s="39">
        <f>+INDEX('[4](7.1) Wheeling Revenues'!$68:$68,MATCH(H$6,'[4](7.1) Wheeling Revenues'!$10:$10,0))</f>
        <v>-2684824.28561325</v>
      </c>
      <c r="I30" s="39">
        <f>+INDEX('[4](7.1) Wheeling Revenues'!$68:$68,MATCH(I$6,'[4](7.1) Wheeling Revenues'!$10:$10,0))</f>
        <v>-2684824.28561325</v>
      </c>
      <c r="J30" s="39">
        <f>+INDEX('[4](7.1) Wheeling Revenues'!$68:$68,MATCH(J$6,'[4](7.1) Wheeling Revenues'!$10:$10,0))</f>
        <v>-2684824.28561325</v>
      </c>
      <c r="K30" s="39">
        <f>+INDEX('[4](7.1) Wheeling Revenues'!$68:$68,MATCH(K$6,'[4](7.1) Wheeling Revenues'!$10:$10,0))</f>
        <v>-2684824.28561325</v>
      </c>
      <c r="L30" s="39">
        <f>+INDEX('[4](7.1) Wheeling Revenues'!$68:$68,MATCH(L$6,'[4](7.1) Wheeling Revenues'!$10:$10,0))</f>
        <v>-2684824.28561325</v>
      </c>
      <c r="M30" s="39">
        <f>+INDEX('[4](7.1) Wheeling Revenues'!$68:$68,MATCH(M$6,'[4](7.1) Wheeling Revenues'!$10:$10,0))</f>
        <v>-2684824.28561325</v>
      </c>
      <c r="N30" s="39">
        <f>+INDEX('[4](7.1) Wheeling Revenues'!$68:$68,MATCH(N$6,'[4](7.1) Wheeling Revenues'!$10:$10,0))</f>
        <v>-2684824.28561325</v>
      </c>
      <c r="O30" s="39"/>
      <c r="P30" s="39"/>
      <c r="Q30" s="39"/>
      <c r="S30" s="39">
        <f>+SUM(F30:Q30)</f>
        <v>-24163418.57051925</v>
      </c>
      <c r="T30" s="57"/>
      <c r="U30" s="34"/>
      <c r="V30" s="35"/>
    </row>
    <row r="31" spans="1:22" ht="15.75" customHeight="1">
      <c r="A31" s="22">
        <f>+MAX($A$1:A30)+1</f>
        <v>14</v>
      </c>
      <c r="B31" s="31" t="s">
        <v>36</v>
      </c>
      <c r="C31" s="36"/>
      <c r="D31" s="42" t="str">
        <f>"∑ Lines "&amp;$A$29&amp;":"&amp;$A$30&amp;""</f>
        <v>∑ Lines 12:13</v>
      </c>
      <c r="E31" s="54"/>
      <c r="F31" s="58">
        <f>+SUM(F29:F30)</f>
        <v>47326240.851624981</v>
      </c>
      <c r="G31" s="58">
        <f>+SUM(G29:G30)</f>
        <v>43300342.814410597</v>
      </c>
      <c r="H31" s="58">
        <f>+SUM(H29:H30)</f>
        <v>47222148.871275187</v>
      </c>
      <c r="I31" s="58">
        <f t="shared" ref="I31:N31" si="7">+SUM(I29:I30)</f>
        <v>46232255.01808551</v>
      </c>
      <c r="J31" s="58">
        <f t="shared" si="7"/>
        <v>50188543.407994404</v>
      </c>
      <c r="K31" s="58">
        <f t="shared" si="7"/>
        <v>51043414.92027615</v>
      </c>
      <c r="L31" s="58">
        <f t="shared" si="7"/>
        <v>60781872.554947704</v>
      </c>
      <c r="M31" s="58">
        <f t="shared" si="7"/>
        <v>64073234.771615848</v>
      </c>
      <c r="N31" s="58">
        <f t="shared" si="7"/>
        <v>54437433.178177372</v>
      </c>
      <c r="O31" s="58"/>
      <c r="P31" s="58"/>
      <c r="Q31" s="58"/>
      <c r="S31" s="58">
        <f>+SUM(F31:Q31)</f>
        <v>464605486.38840783</v>
      </c>
      <c r="T31" s="33"/>
      <c r="U31" s="34"/>
      <c r="V31" s="35"/>
    </row>
    <row r="32" spans="1:22" ht="15.75" customHeight="1">
      <c r="B32" s="31"/>
      <c r="C32" s="36"/>
      <c r="D32" s="42"/>
      <c r="E32" s="54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S32" s="39"/>
      <c r="T32" s="33"/>
      <c r="U32" s="34"/>
      <c r="V32" s="35"/>
    </row>
    <row r="33" spans="1:22" ht="15.75" customHeight="1">
      <c r="A33" s="22">
        <f>+MAX($A$1:A32)+1</f>
        <v>15</v>
      </c>
      <c r="B33" s="31" t="s">
        <v>52</v>
      </c>
      <c r="C33" s="36"/>
      <c r="D33" s="38" t="str">
        <f>+'Workpaper Index'!$B$24</f>
        <v>(6.1)</v>
      </c>
      <c r="E33" s="54"/>
      <c r="F33" s="39">
        <f>+'[4](6.1) Prorated Base NPC'!J21</f>
        <v>1982626.99979</v>
      </c>
      <c r="G33" s="39">
        <f>+'[4](6.1) Prorated Base NPC'!K21</f>
        <v>1789929.9980000001</v>
      </c>
      <c r="H33" s="39">
        <f>+'[4](6.1) Prorated Base NPC'!L21</f>
        <v>1910070.0009899999</v>
      </c>
      <c r="I33" s="39">
        <f>+'[4](6.1) Prorated Base NPC'!M21</f>
        <v>1856810.0009900001</v>
      </c>
      <c r="J33" s="39">
        <f>+'[4](6.1) Prorated Base NPC'!N21</f>
        <v>1998460.00202</v>
      </c>
      <c r="K33" s="39">
        <f>+'[4](6.1) Prorated Base NPC'!O21</f>
        <v>1912132.46205</v>
      </c>
      <c r="L33" s="39">
        <f>+'[4](6.1) Prorated Base NPC'!P21</f>
        <v>2266364.4785400005</v>
      </c>
      <c r="M33" s="39">
        <f>+'[4](6.1) Prorated Base NPC'!Q21</f>
        <v>2314401.9906899994</v>
      </c>
      <c r="N33" s="39">
        <f>+'[4](6.1) Prorated Base NPC'!R21</f>
        <v>1968925.9935399997</v>
      </c>
      <c r="O33" s="39"/>
      <c r="P33" s="39"/>
      <c r="Q33" s="39"/>
      <c r="S33" s="39">
        <f>+SUM(F33:Q33)</f>
        <v>17999721.92661</v>
      </c>
      <c r="T33" s="33"/>
      <c r="U33" s="34"/>
      <c r="V33" s="35"/>
    </row>
    <row r="34" spans="1:22" ht="15.75" customHeight="1">
      <c r="B34" s="31"/>
      <c r="C34" s="36"/>
      <c r="D34" s="42"/>
      <c r="E34" s="5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S34" s="37"/>
      <c r="T34" s="33"/>
      <c r="U34" s="34"/>
      <c r="V34" s="35"/>
    </row>
    <row r="35" spans="1:22" ht="15.75" customHeight="1">
      <c r="A35" s="22">
        <f>+MAX($A$1:A34)+1</f>
        <v>16</v>
      </c>
      <c r="B35" s="48" t="s">
        <v>53</v>
      </c>
      <c r="C35" s="36"/>
      <c r="D35" s="42" t="str">
        <f>"Line "&amp;$A$31&amp;" / Line "&amp;$A$33&amp;""</f>
        <v>Line 14 / Line 15</v>
      </c>
      <c r="E35" s="54"/>
      <c r="F35" s="49">
        <f>+F31/F33</f>
        <v>23.870471277067132</v>
      </c>
      <c r="G35" s="49">
        <f>+G31/G33</f>
        <v>24.191081697492503</v>
      </c>
      <c r="H35" s="49">
        <f>+H31/H33</f>
        <v>24.722732070971055</v>
      </c>
      <c r="I35" s="49">
        <f t="shared" ref="I35:N35" si="8">+I31/I33</f>
        <v>24.898753773103195</v>
      </c>
      <c r="J35" s="49">
        <f t="shared" si="8"/>
        <v>25.113609157683875</v>
      </c>
      <c r="K35" s="49">
        <f t="shared" si="8"/>
        <v>26.694497339139588</v>
      </c>
      <c r="L35" s="49">
        <f t="shared" si="8"/>
        <v>26.819107487116806</v>
      </c>
      <c r="M35" s="49">
        <f t="shared" si="8"/>
        <v>27.684574688994935</v>
      </c>
      <c r="N35" s="49">
        <f t="shared" si="8"/>
        <v>27.648288131085334</v>
      </c>
      <c r="O35" s="49"/>
      <c r="P35" s="49"/>
      <c r="Q35" s="49"/>
      <c r="S35" s="49">
        <f>+S31/S33</f>
        <v>25.811814664845208</v>
      </c>
      <c r="T35" s="33"/>
      <c r="U35" s="34"/>
      <c r="V35" s="35"/>
    </row>
    <row r="36" spans="1:22" ht="15.75" customHeight="1">
      <c r="B36" s="48"/>
      <c r="C36" s="36"/>
      <c r="D36" s="42"/>
      <c r="E36" s="5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S36" s="37"/>
      <c r="T36" s="33"/>
      <c r="U36" s="34"/>
      <c r="V36" s="35"/>
    </row>
    <row r="37" spans="1:22" ht="15.75" customHeight="1">
      <c r="A37" s="36" t="s">
        <v>54</v>
      </c>
      <c r="B37" s="48"/>
      <c r="C37" s="36"/>
      <c r="D37" s="42"/>
      <c r="E37" s="54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S37" s="39"/>
      <c r="T37" s="33"/>
      <c r="U37" s="34"/>
      <c r="V37" s="35"/>
    </row>
    <row r="38" spans="1:22" ht="15.75" customHeight="1">
      <c r="A38" s="36"/>
      <c r="B38" s="48"/>
      <c r="C38" s="36"/>
      <c r="D38" s="42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S38" s="37"/>
      <c r="T38" s="33"/>
      <c r="U38" s="34"/>
      <c r="V38" s="35"/>
    </row>
    <row r="39" spans="1:22" ht="15.75" customHeight="1">
      <c r="A39" s="22">
        <f>+MAX($A$1:A37)+1</f>
        <v>17</v>
      </c>
      <c r="B39" s="31" t="s">
        <v>55</v>
      </c>
      <c r="C39" s="36"/>
      <c r="D39" s="42" t="str">
        <f>"Line "&amp;$A$25&amp;" - Line "&amp;$A$35&amp;""</f>
        <v>Line 11 - Line 16</v>
      </c>
      <c r="E39" s="54"/>
      <c r="F39" s="60">
        <f t="shared" ref="F39:N39" si="9">+F25-F35</f>
        <v>0.70372677735746336</v>
      </c>
      <c r="G39" s="60">
        <f t="shared" si="9"/>
        <v>0.53594402684096565</v>
      </c>
      <c r="H39" s="60">
        <f t="shared" si="9"/>
        <v>1.2467366477926909</v>
      </c>
      <c r="I39" s="60">
        <f t="shared" si="9"/>
        <v>-0.56620849506819582</v>
      </c>
      <c r="J39" s="60">
        <f t="shared" si="9"/>
        <v>-0.79421624233988908</v>
      </c>
      <c r="K39" s="60">
        <f t="shared" si="9"/>
        <v>-1.4437510351910241</v>
      </c>
      <c r="L39" s="60">
        <f t="shared" si="9"/>
        <v>5.5797538342123509</v>
      </c>
      <c r="M39" s="60">
        <f t="shared" si="9"/>
        <v>0.71805665451026357</v>
      </c>
      <c r="N39" s="60">
        <f t="shared" si="9"/>
        <v>2.1913434881133647</v>
      </c>
      <c r="O39" s="60"/>
      <c r="P39" s="60"/>
      <c r="Q39" s="60"/>
      <c r="S39" s="60">
        <f>+S25-S35</f>
        <v>1.0038701429850292</v>
      </c>
      <c r="T39" s="33"/>
      <c r="U39" s="34"/>
      <c r="V39" s="35"/>
    </row>
    <row r="40" spans="1:22" ht="15.75" customHeight="1">
      <c r="B40" s="31"/>
      <c r="C40" s="36"/>
      <c r="D40" s="42"/>
      <c r="E40" s="5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S40" s="43"/>
      <c r="T40" s="33"/>
      <c r="U40" s="34"/>
      <c r="V40" s="35"/>
    </row>
    <row r="41" spans="1:22" ht="15.75" customHeight="1">
      <c r="A41" s="22">
        <f>+MAX($A$1:A40)+1</f>
        <v>18</v>
      </c>
      <c r="B41" s="31" t="s">
        <v>56</v>
      </c>
      <c r="C41" s="36"/>
      <c r="D41" s="42" t="str">
        <f>"Line "&amp;$A$24&amp;" * Line "&amp;$A$39&amp;""</f>
        <v>Line 10 * Line 17</v>
      </c>
      <c r="E41" s="54"/>
      <c r="F41" s="45">
        <f>+F39*F24</f>
        <v>1529516.9144504103</v>
      </c>
      <c r="G41" s="45">
        <f>+G39*G24</f>
        <v>994516.76704254502</v>
      </c>
      <c r="H41" s="45">
        <f>+H39*H24</f>
        <v>2310030.5385522107</v>
      </c>
      <c r="I41" s="45">
        <f>+I39*I24</f>
        <v>-1012081.4438099276</v>
      </c>
      <c r="J41" s="39">
        <f t="shared" ref="J41" si="10">+J39*J24</f>
        <v>-1521601.5530628462</v>
      </c>
      <c r="K41" s="45">
        <f>+K39*K24</f>
        <v>-3100056.1151786558</v>
      </c>
      <c r="L41" s="45">
        <f t="shared" ref="L41:N41" si="11">+L39*L24</f>
        <v>13036259.575176822</v>
      </c>
      <c r="M41" s="45">
        <f t="shared" si="11"/>
        <v>1754896.727885342</v>
      </c>
      <c r="N41" s="45">
        <f t="shared" si="11"/>
        <v>4329240.1458044834</v>
      </c>
      <c r="O41" s="45"/>
      <c r="P41" s="39"/>
      <c r="Q41" s="39"/>
      <c r="S41" s="39">
        <f>+SUM(F41:Q41)</f>
        <v>18320721.556860384</v>
      </c>
      <c r="T41" s="33"/>
      <c r="U41" s="34"/>
      <c r="V41" s="35"/>
    </row>
    <row r="42" spans="1:22" ht="15.75" customHeight="1">
      <c r="B42" s="31"/>
      <c r="C42" s="36"/>
      <c r="D42" s="42"/>
      <c r="E42" s="54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S42" s="37"/>
      <c r="T42" s="33"/>
      <c r="U42" s="34"/>
      <c r="V42" s="35"/>
    </row>
    <row r="43" spans="1:22" ht="15.75" customHeight="1">
      <c r="A43" s="22">
        <f>+MAX($A$1:A42)+1</f>
        <v>19</v>
      </c>
      <c r="B43" s="31" t="s">
        <v>57</v>
      </c>
      <c r="C43" s="36"/>
      <c r="D43" s="42" t="str">
        <f>"Line "&amp;A41&amp;" * 70%"</f>
        <v>Line 18 * 70%</v>
      </c>
      <c r="E43" s="54"/>
      <c r="F43" s="39">
        <f>F41*0.7</f>
        <v>1070661.8401152871</v>
      </c>
      <c r="G43" s="39">
        <f>G41*0.7</f>
        <v>696161.7369297815</v>
      </c>
      <c r="H43" s="39">
        <f>H41*0.7</f>
        <v>1617021.3769865474</v>
      </c>
      <c r="I43" s="39">
        <f>I41*0.7</f>
        <v>-708457.01066694921</v>
      </c>
      <c r="J43" s="39">
        <f t="shared" ref="J43:N43" si="12">J41*0.7</f>
        <v>-1065121.0871439923</v>
      </c>
      <c r="K43" s="39">
        <f t="shared" si="12"/>
        <v>-2170039.2806250588</v>
      </c>
      <c r="L43" s="39">
        <f t="shared" si="12"/>
        <v>9125381.7026237752</v>
      </c>
      <c r="M43" s="39">
        <f t="shared" si="12"/>
        <v>1228427.7095197393</v>
      </c>
      <c r="N43" s="39">
        <f t="shared" si="12"/>
        <v>3030468.102063138</v>
      </c>
      <c r="O43" s="39"/>
      <c r="P43" s="39"/>
      <c r="Q43" s="39"/>
      <c r="S43" s="39">
        <f>+SUM(F43:Q43)</f>
        <v>12824505.089802269</v>
      </c>
      <c r="T43" s="33"/>
      <c r="U43" s="34"/>
      <c r="V43" s="35"/>
    </row>
    <row r="44" spans="1:22" ht="15.75" customHeight="1">
      <c r="A44" s="22">
        <f>+MAX($A$1:A43)+1</f>
        <v>20</v>
      </c>
      <c r="B44" s="31" t="s">
        <v>58</v>
      </c>
      <c r="C44" s="36"/>
      <c r="D44" s="38" t="s">
        <v>59</v>
      </c>
      <c r="E44" s="54"/>
      <c r="F44" s="37">
        <f>+INDEX('[4](7.1) Wheeling Revenues'!$53:$53,1,MATCH(F$6,'[4](7.1) Wheeling Revenues'!$10:$10,0))</f>
        <v>0</v>
      </c>
      <c r="G44" s="37">
        <f>+INDEX('[4](7.1) Wheeling Revenues'!$53:$53,1,MATCH(G$6,'[4](7.1) Wheeling Revenues'!$10:$10,0))</f>
        <v>0</v>
      </c>
      <c r="H44" s="37">
        <f>+INDEX('[4](7.1) Wheeling Revenues'!$53:$53,1,MATCH(H$6,'[4](7.1) Wheeling Revenues'!$10:$10,0))</f>
        <v>0</v>
      </c>
      <c r="I44" s="37">
        <f>+INDEX('[4](7.1) Wheeling Revenues'!$53:$53,1,MATCH(I$6,'[4](7.1) Wheeling Revenues'!$10:$10,0))</f>
        <v>0</v>
      </c>
      <c r="J44" s="37">
        <f>+INDEX('[4](7.1) Wheeling Revenues'!$53:$53,1,MATCH(J$6,'[4](7.1) Wheeling Revenues'!$10:$10,0))</f>
        <v>0</v>
      </c>
      <c r="K44" s="37">
        <f>+INDEX('[4](7.1) Wheeling Revenues'!$53:$53,1,MATCH(K$6,'[4](7.1) Wheeling Revenues'!$10:$10,0))</f>
        <v>0</v>
      </c>
      <c r="L44" s="37">
        <f>+INDEX('[4](7.1) Wheeling Revenues'!$53:$53,1,MATCH(L$6,'[4](7.1) Wheeling Revenues'!$10:$10,0))</f>
        <v>0</v>
      </c>
      <c r="M44" s="37">
        <f>+INDEX('[4](7.1) Wheeling Revenues'!$53:$53,1,MATCH(M$6,'[4](7.1) Wheeling Revenues'!$10:$10,0))</f>
        <v>0</v>
      </c>
      <c r="N44" s="37">
        <f>+INDEX('[4](7.1) Wheeling Revenues'!$53:$53,1,MATCH(N$6,'[4](7.1) Wheeling Revenues'!$10:$10,0))</f>
        <v>0</v>
      </c>
      <c r="O44" s="37"/>
      <c r="P44" s="37"/>
      <c r="Q44" s="37"/>
      <c r="S44" s="41">
        <f>+SUM(F44:Q44)</f>
        <v>0</v>
      </c>
      <c r="T44" s="33"/>
      <c r="U44" s="34"/>
      <c r="V44" s="35"/>
    </row>
    <row r="45" spans="1:22" ht="15.75" customHeight="1">
      <c r="A45" s="22">
        <f>+MAX($A$1:A44)+1</f>
        <v>21</v>
      </c>
      <c r="B45" s="48" t="s">
        <v>60</v>
      </c>
      <c r="C45" s="36"/>
      <c r="D45" s="42" t="str">
        <f>"∑ Lines "&amp;$A$43&amp;":"&amp;$A$44&amp;""</f>
        <v>∑ Lines 19:20</v>
      </c>
      <c r="E45" s="54"/>
      <c r="F45" s="61">
        <f>+SUM(F43:F44)</f>
        <v>1070661.8401152871</v>
      </c>
      <c r="G45" s="61">
        <f>+SUM(G43:G44)</f>
        <v>696161.7369297815</v>
      </c>
      <c r="H45" s="61">
        <f>+SUM(H43:H44)</f>
        <v>1617021.3769865474</v>
      </c>
      <c r="I45" s="61">
        <f t="shared" ref="I45:N45" si="13">+SUM(I43:I44)</f>
        <v>-708457.01066694921</v>
      </c>
      <c r="J45" s="61">
        <f t="shared" si="13"/>
        <v>-1065121.0871439923</v>
      </c>
      <c r="K45" s="61">
        <f t="shared" si="13"/>
        <v>-2170039.2806250588</v>
      </c>
      <c r="L45" s="61">
        <f t="shared" si="13"/>
        <v>9125381.7026237752</v>
      </c>
      <c r="M45" s="61">
        <f t="shared" si="13"/>
        <v>1228427.7095197393</v>
      </c>
      <c r="N45" s="61">
        <f t="shared" si="13"/>
        <v>3030468.102063138</v>
      </c>
      <c r="O45" s="61"/>
      <c r="P45" s="61"/>
      <c r="Q45" s="61"/>
      <c r="S45" s="37">
        <f>+SUM(F45:Q45)</f>
        <v>12824505.089802269</v>
      </c>
      <c r="T45" s="33"/>
      <c r="U45" s="34"/>
      <c r="V45" s="35"/>
    </row>
    <row r="46" spans="1:22" ht="15.75" customHeight="1">
      <c r="B46" s="48"/>
      <c r="C46" s="36"/>
      <c r="D46" s="42"/>
      <c r="E46" s="54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37"/>
      <c r="T46" s="33"/>
      <c r="U46" s="34"/>
      <c r="V46" s="35"/>
    </row>
    <row r="47" spans="1:22" ht="15.75" customHeight="1">
      <c r="A47" s="36" t="s">
        <v>61</v>
      </c>
      <c r="B47" s="48"/>
      <c r="C47" s="36"/>
      <c r="D47" s="42"/>
      <c r="E47" s="54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7"/>
      <c r="T47" s="33"/>
      <c r="U47" s="34"/>
      <c r="V47" s="35"/>
    </row>
    <row r="48" spans="1:22" ht="15.75" customHeight="1">
      <c r="B48" s="48"/>
      <c r="C48" s="62"/>
      <c r="D48" s="42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S48" s="64"/>
      <c r="T48" s="65"/>
      <c r="U48" s="34"/>
      <c r="V48" s="35"/>
    </row>
    <row r="49" spans="1:22" ht="15.75" customHeight="1">
      <c r="A49" s="22">
        <f>+MAX($A$1:A48)+1</f>
        <v>22</v>
      </c>
      <c r="B49" s="31" t="s">
        <v>62</v>
      </c>
      <c r="C49" s="66"/>
      <c r="D49" s="42" t="s">
        <v>63</v>
      </c>
      <c r="E49" s="67"/>
      <c r="F49" s="68">
        <v>5.0000000000000001E-3</v>
      </c>
      <c r="G49" s="68">
        <f>+F49</f>
        <v>5.0000000000000001E-3</v>
      </c>
      <c r="H49" s="68">
        <f t="shared" ref="H49:N49" si="14">+G49</f>
        <v>5.0000000000000001E-3</v>
      </c>
      <c r="I49" s="68">
        <f t="shared" si="14"/>
        <v>5.0000000000000001E-3</v>
      </c>
      <c r="J49" s="68">
        <f t="shared" si="14"/>
        <v>5.0000000000000001E-3</v>
      </c>
      <c r="K49" s="68">
        <f t="shared" si="14"/>
        <v>5.0000000000000001E-3</v>
      </c>
      <c r="L49" s="68">
        <f t="shared" si="14"/>
        <v>5.0000000000000001E-3</v>
      </c>
      <c r="M49" s="68">
        <f t="shared" si="14"/>
        <v>5.0000000000000001E-3</v>
      </c>
      <c r="N49" s="68">
        <f t="shared" si="14"/>
        <v>5.0000000000000001E-3</v>
      </c>
      <c r="O49" s="68"/>
      <c r="P49" s="68"/>
      <c r="Q49" s="68"/>
      <c r="S49" s="68"/>
      <c r="T49" s="69"/>
      <c r="U49" s="34"/>
      <c r="V49" s="35"/>
    </row>
    <row r="50" spans="1:22" ht="15.75" customHeight="1">
      <c r="A50" s="22">
        <f>+MAX($A$1:A49)+1</f>
        <v>23</v>
      </c>
      <c r="B50" s="31" t="s">
        <v>64</v>
      </c>
      <c r="C50" s="66"/>
      <c r="D50" s="42" t="str">
        <f>"Prior Month Line "&amp;$A$53&amp;""</f>
        <v>Prior Month Line 26</v>
      </c>
      <c r="E50" s="67"/>
      <c r="F50" s="70">
        <v>0</v>
      </c>
      <c r="G50" s="70">
        <f t="shared" ref="G50:N50" si="15">+F53</f>
        <v>1073338.4947155754</v>
      </c>
      <c r="H50" s="70">
        <f t="shared" si="15"/>
        <v>1776607.3284612591</v>
      </c>
      <c r="I50" s="70">
        <f t="shared" si="15"/>
        <v>3406554.2955325791</v>
      </c>
      <c r="J50" s="70">
        <f t="shared" si="15"/>
        <v>2713358.9138166253</v>
      </c>
      <c r="K50" s="70">
        <f t="shared" si="15"/>
        <v>1659141.8185238561</v>
      </c>
      <c r="L50" s="70">
        <f t="shared" si="15"/>
        <v>-508026.85121014604</v>
      </c>
      <c r="M50" s="70">
        <f t="shared" si="15"/>
        <v>8637628.1714141387</v>
      </c>
      <c r="N50" s="70">
        <f t="shared" si="15"/>
        <v>9912315.0910647474</v>
      </c>
      <c r="O50" s="70"/>
      <c r="P50" s="70"/>
      <c r="Q50" s="70"/>
      <c r="S50" s="70">
        <f>+F50</f>
        <v>0</v>
      </c>
      <c r="T50" s="71"/>
      <c r="U50" s="34"/>
      <c r="V50" s="35"/>
    </row>
    <row r="51" spans="1:22" ht="15.75" customHeight="1">
      <c r="A51" s="22">
        <f>+MAX($A$1:A50)+1</f>
        <v>24</v>
      </c>
      <c r="B51" s="31" t="s">
        <v>65</v>
      </c>
      <c r="C51" s="66"/>
      <c r="D51" s="42" t="str">
        <f>"Line "&amp;$A$45</f>
        <v>Line 21</v>
      </c>
      <c r="E51" s="67"/>
      <c r="F51" s="70">
        <f>+F45</f>
        <v>1070661.8401152871</v>
      </c>
      <c r="G51" s="70">
        <f>+G45</f>
        <v>696161.7369297815</v>
      </c>
      <c r="H51" s="70">
        <f>+H45</f>
        <v>1617021.3769865474</v>
      </c>
      <c r="I51" s="70">
        <f t="shared" ref="I51:N51" si="16">+I45</f>
        <v>-708457.01066694921</v>
      </c>
      <c r="J51" s="70">
        <f t="shared" si="16"/>
        <v>-1065121.0871439923</v>
      </c>
      <c r="K51" s="70">
        <f t="shared" si="16"/>
        <v>-2170039.2806250588</v>
      </c>
      <c r="L51" s="70">
        <f t="shared" si="16"/>
        <v>9125381.7026237752</v>
      </c>
      <c r="M51" s="70">
        <f t="shared" si="16"/>
        <v>1228427.7095197393</v>
      </c>
      <c r="N51" s="70">
        <f t="shared" si="16"/>
        <v>3030468.102063138</v>
      </c>
      <c r="O51" s="70"/>
      <c r="P51" s="70"/>
      <c r="Q51" s="70"/>
      <c r="S51" s="70">
        <f>+SUM(F51:Q51)</f>
        <v>12824505.089802269</v>
      </c>
      <c r="T51" s="71"/>
      <c r="U51" s="34"/>
      <c r="V51" s="35"/>
    </row>
    <row r="52" spans="1:22" ht="15.75" customHeight="1">
      <c r="A52" s="22">
        <f>+MAX($A$1:A51)+1</f>
        <v>25</v>
      </c>
      <c r="B52" s="72" t="s">
        <v>66</v>
      </c>
      <c r="C52" s="66"/>
      <c r="D52" s="42" t="str">
        <f>"Line "&amp;$A$49&amp;" * ( Line "&amp;$A$50&amp;" + 50% x Line "&amp;$A$51&amp;")"</f>
        <v>Line 22 * ( Line 23 + 50% x Line 24)</v>
      </c>
      <c r="E52" s="67"/>
      <c r="F52" s="73">
        <f t="shared" ref="F52:H52" si="17">+(F50+0.5*SUM(F51:F51))*F49</f>
        <v>2676.6546002882178</v>
      </c>
      <c r="G52" s="73">
        <f t="shared" si="17"/>
        <v>7107.0968159023305</v>
      </c>
      <c r="H52" s="73">
        <f t="shared" si="17"/>
        <v>12925.590084772664</v>
      </c>
      <c r="I52" s="73">
        <f t="shared" ref="I52:K52" si="18">+(I50+0.5*SUM(I51:I51))*I49</f>
        <v>15261.628950995524</v>
      </c>
      <c r="J52" s="73">
        <f t="shared" si="18"/>
        <v>10903.991851223147</v>
      </c>
      <c r="K52" s="73">
        <f t="shared" si="18"/>
        <v>2870.6108910566336</v>
      </c>
      <c r="L52" s="73">
        <f t="shared" ref="L52:N52" si="19">+(L50+0.5*SUM(L51:L51))*L49</f>
        <v>20273.320000508709</v>
      </c>
      <c r="M52" s="73">
        <f t="shared" si="19"/>
        <v>46259.210130870044</v>
      </c>
      <c r="N52" s="73">
        <f t="shared" si="19"/>
        <v>57137.745710481584</v>
      </c>
      <c r="O52" s="73"/>
      <c r="P52" s="73"/>
      <c r="Q52" s="73"/>
      <c r="S52" s="39">
        <f>+SUM(F52:Q52)</f>
        <v>175415.84903609887</v>
      </c>
      <c r="T52" s="71"/>
      <c r="U52" s="34"/>
      <c r="V52" s="35"/>
    </row>
    <row r="53" spans="1:22" ht="15.75" customHeight="1">
      <c r="A53" s="22">
        <f>+MAX($A$1:A52)+1</f>
        <v>26</v>
      </c>
      <c r="B53" s="48" t="s">
        <v>67</v>
      </c>
      <c r="C53" s="66"/>
      <c r="D53" s="42" t="str">
        <f>"∑ Lines "&amp;$A$50&amp;":"&amp;$A$52&amp;""</f>
        <v>∑ Lines 23:25</v>
      </c>
      <c r="E53" s="67"/>
      <c r="F53" s="61">
        <f t="shared" ref="F53:H53" si="20">+SUM(F50:F52)</f>
        <v>1073338.4947155754</v>
      </c>
      <c r="G53" s="61">
        <f t="shared" si="20"/>
        <v>1776607.3284612591</v>
      </c>
      <c r="H53" s="61">
        <f t="shared" si="20"/>
        <v>3406554.2955325791</v>
      </c>
      <c r="I53" s="61">
        <f t="shared" ref="I53:K53" si="21">+SUM(I50:I52)</f>
        <v>2713358.9138166253</v>
      </c>
      <c r="J53" s="61">
        <f t="shared" si="21"/>
        <v>1659141.8185238561</v>
      </c>
      <c r="K53" s="61">
        <f t="shared" si="21"/>
        <v>-508026.85121014604</v>
      </c>
      <c r="L53" s="61">
        <f t="shared" ref="L53:N53" si="22">+SUM(L50:L52)</f>
        <v>8637628.1714141387</v>
      </c>
      <c r="M53" s="61">
        <f t="shared" si="22"/>
        <v>9912315.0910647474</v>
      </c>
      <c r="N53" s="61">
        <f t="shared" si="22"/>
        <v>12999920.938838366</v>
      </c>
      <c r="O53" s="61"/>
      <c r="P53" s="61"/>
      <c r="Q53" s="61"/>
      <c r="S53" s="61">
        <f>+SUM(S50:S52)</f>
        <v>12999920.938838368</v>
      </c>
      <c r="T53" s="71"/>
      <c r="U53" s="34"/>
      <c r="V53" s="35"/>
    </row>
    <row r="54" spans="1:22" ht="15.75" customHeight="1">
      <c r="B54" s="36"/>
      <c r="C54" s="36"/>
      <c r="E54" s="36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S54" s="69"/>
      <c r="T54" s="69"/>
      <c r="U54" s="34"/>
      <c r="V54" s="35"/>
    </row>
    <row r="55" spans="1:22" ht="15.75" customHeight="1">
      <c r="B55" s="24"/>
      <c r="C55" s="36"/>
      <c r="E55" s="36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S55" s="69"/>
      <c r="T55" s="69"/>
      <c r="U55" s="34"/>
      <c r="V55" s="35"/>
    </row>
    <row r="56" spans="1:22" ht="15.75" customHeight="1">
      <c r="A56" s="18" t="s">
        <v>68</v>
      </c>
      <c r="C56" s="36"/>
      <c r="E56" s="36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S56" s="69"/>
      <c r="T56" s="69"/>
      <c r="U56" s="34"/>
      <c r="V56" s="35"/>
    </row>
    <row r="57" spans="1:22" ht="15.75" customHeight="1">
      <c r="A57" s="75">
        <v>1</v>
      </c>
      <c r="B57" s="76" t="s">
        <v>69</v>
      </c>
      <c r="C57" s="36"/>
      <c r="E57" s="36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S57" s="69"/>
      <c r="T57" s="69"/>
      <c r="U57" s="34"/>
      <c r="V57" s="35"/>
    </row>
    <row r="58" spans="1:22" ht="15.75" customHeight="1">
      <c r="A58" s="75">
        <v>2</v>
      </c>
      <c r="B58" s="76" t="s">
        <v>70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S58" s="77"/>
      <c r="T58" s="77"/>
      <c r="U58" s="34"/>
      <c r="V58" s="35"/>
    </row>
    <row r="59" spans="1:22" ht="15.75" customHeight="1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S59" s="77"/>
      <c r="T59" s="77"/>
      <c r="U59" s="34"/>
      <c r="V59" s="35"/>
    </row>
    <row r="60" spans="1:22" ht="15.75" customHeight="1"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77"/>
      <c r="T60" s="77"/>
      <c r="U60" s="34"/>
      <c r="V60" s="35"/>
    </row>
    <row r="61" spans="1:22" ht="15.75" customHeight="1"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S61" s="77"/>
      <c r="T61" s="77"/>
      <c r="U61" s="34"/>
      <c r="V61" s="35"/>
    </row>
    <row r="62" spans="1:22" ht="15.75" customHeight="1"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S62" s="77"/>
      <c r="T62" s="77"/>
      <c r="U62" s="34"/>
      <c r="V62" s="35"/>
    </row>
    <row r="63" spans="1:22" ht="15.75" customHeight="1"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S63" s="77"/>
      <c r="T63" s="77"/>
      <c r="U63" s="34"/>
      <c r="V63" s="35"/>
    </row>
    <row r="64" spans="1:22" ht="15.75" customHeight="1"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S64" s="77"/>
      <c r="T64" s="77"/>
      <c r="U64" s="34"/>
      <c r="V64" s="35"/>
    </row>
    <row r="65" spans="6:22" ht="15.75" customHeight="1"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S65" s="77"/>
      <c r="T65" s="77"/>
      <c r="U65" s="34"/>
      <c r="V65" s="35"/>
    </row>
    <row r="66" spans="6:22" ht="15.75" customHeight="1"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S66" s="77"/>
      <c r="T66" s="77"/>
      <c r="U66" s="34"/>
      <c r="V66" s="35"/>
    </row>
    <row r="67" spans="6:22" ht="15.75" customHeight="1"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S67" s="35"/>
      <c r="T67" s="35"/>
      <c r="U67" s="34"/>
      <c r="V67" s="35"/>
    </row>
    <row r="68" spans="6:22" ht="15.75" customHeight="1"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S68" s="35"/>
      <c r="T68" s="35"/>
      <c r="U68" s="34"/>
      <c r="V68" s="35"/>
    </row>
    <row r="69" spans="6:22" ht="15.75" customHeight="1"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S69" s="35"/>
      <c r="T69" s="35"/>
      <c r="U69" s="34"/>
      <c r="V69" s="35"/>
    </row>
    <row r="70" spans="6:22" ht="15.75" customHeight="1"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S70" s="35"/>
      <c r="T70" s="35"/>
      <c r="U70" s="34"/>
      <c r="V70" s="35"/>
    </row>
    <row r="71" spans="6:22" ht="15.75" customHeight="1"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S71" s="35"/>
      <c r="T71" s="35"/>
      <c r="U71" s="34"/>
      <c r="V71" s="35"/>
    </row>
    <row r="72" spans="6:22" ht="15.75" customHeight="1"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S72" s="35"/>
      <c r="T72" s="35"/>
      <c r="U72" s="34"/>
      <c r="V72" s="35"/>
    </row>
    <row r="73" spans="6:22" ht="15.75" customHeight="1"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35"/>
      <c r="T73" s="35"/>
      <c r="U73" s="34"/>
      <c r="V73" s="35"/>
    </row>
    <row r="74" spans="6:22" ht="15.75" customHeight="1"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35"/>
      <c r="T74" s="35"/>
      <c r="U74" s="34"/>
      <c r="V74" s="35"/>
    </row>
    <row r="75" spans="6:22" ht="15.75" customHeight="1"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35"/>
      <c r="T75" s="35"/>
      <c r="U75" s="34"/>
      <c r="V75" s="35"/>
    </row>
    <row r="76" spans="6:22" ht="15.75" customHeight="1"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35"/>
      <c r="T76" s="35"/>
      <c r="U76" s="34"/>
      <c r="V76" s="35"/>
    </row>
    <row r="77" spans="6:22" ht="15.75" customHeight="1"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35"/>
      <c r="T77" s="35"/>
      <c r="U77" s="34"/>
      <c r="V77" s="35"/>
    </row>
    <row r="78" spans="6:22" ht="15.75" customHeight="1"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35"/>
      <c r="T78" s="35"/>
      <c r="U78" s="34"/>
      <c r="V78" s="35"/>
    </row>
    <row r="79" spans="6:22" ht="15.75" customHeight="1"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S79" s="35"/>
      <c r="T79" s="35"/>
      <c r="U79" s="34"/>
      <c r="V79" s="35"/>
    </row>
    <row r="80" spans="6:22" ht="15.75" customHeight="1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S80" s="35"/>
      <c r="T80" s="35"/>
      <c r="U80" s="34"/>
      <c r="V80" s="35"/>
    </row>
    <row r="81" spans="6:22" ht="15.75" customHeight="1"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S81" s="35"/>
      <c r="T81" s="35"/>
      <c r="U81" s="34"/>
      <c r="V81" s="35"/>
    </row>
    <row r="82" spans="6:22" ht="15.75" customHeight="1"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S82" s="35"/>
      <c r="T82" s="35"/>
      <c r="U82" s="34"/>
      <c r="V82" s="35"/>
    </row>
    <row r="83" spans="6:22" ht="15.75" customHeight="1"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S83" s="35"/>
      <c r="T83" s="35"/>
      <c r="U83" s="34"/>
      <c r="V83" s="35"/>
    </row>
    <row r="84" spans="6:22" ht="15.75" customHeight="1"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S84" s="35"/>
      <c r="T84" s="35"/>
      <c r="U84" s="34"/>
      <c r="V84" s="35"/>
    </row>
    <row r="85" spans="6:22" ht="15.75" customHeight="1"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S85" s="35"/>
      <c r="T85" s="35"/>
      <c r="U85" s="34"/>
      <c r="V85" s="35"/>
    </row>
    <row r="86" spans="6:22" ht="15.75" customHeight="1"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S86" s="35"/>
      <c r="T86" s="35"/>
      <c r="U86" s="34"/>
      <c r="V86" s="35"/>
    </row>
    <row r="87" spans="6:22" ht="15.75" customHeight="1"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S87" s="35"/>
      <c r="T87" s="35"/>
      <c r="U87" s="34"/>
      <c r="V87" s="35"/>
    </row>
    <row r="88" spans="6:22" ht="15.75" customHeight="1"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S88" s="35"/>
      <c r="T88" s="35"/>
      <c r="U88" s="34"/>
      <c r="V88" s="35"/>
    </row>
    <row r="89" spans="6:22" ht="15.75" customHeight="1"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S89" s="35"/>
      <c r="T89" s="35"/>
      <c r="U89" s="34"/>
      <c r="V89" s="35"/>
    </row>
    <row r="90" spans="6:22" ht="15.75" customHeight="1"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S90" s="35"/>
      <c r="T90" s="35"/>
      <c r="U90" s="34"/>
      <c r="V90" s="35"/>
    </row>
    <row r="91" spans="6:22" ht="15.75" customHeight="1"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S91" s="35"/>
      <c r="T91" s="35"/>
      <c r="U91" s="34"/>
      <c r="V91" s="35"/>
    </row>
    <row r="92" spans="6:22" ht="15.75" customHeight="1"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S92" s="35"/>
      <c r="T92" s="35"/>
      <c r="U92" s="34"/>
      <c r="V92" s="35"/>
    </row>
    <row r="93" spans="6:22" ht="15.75" customHeight="1"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S93" s="35"/>
      <c r="T93" s="35"/>
      <c r="U93" s="34"/>
      <c r="V93" s="35"/>
    </row>
    <row r="94" spans="6:22" ht="15.75" customHeight="1"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S94" s="35"/>
      <c r="T94" s="35"/>
      <c r="U94" s="34"/>
      <c r="V94" s="35"/>
    </row>
    <row r="95" spans="6:22" ht="15.75" customHeight="1"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S95" s="35"/>
      <c r="T95" s="35"/>
      <c r="U95" s="34"/>
      <c r="V95" s="35"/>
    </row>
    <row r="96" spans="6:22" ht="15.75" customHeight="1"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S96" s="35"/>
      <c r="T96" s="35"/>
      <c r="U96" s="34"/>
      <c r="V96" s="35"/>
    </row>
    <row r="97" spans="6:22" ht="15.75" customHeight="1"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S97" s="35"/>
      <c r="T97" s="35"/>
      <c r="U97" s="34"/>
      <c r="V97" s="35"/>
    </row>
    <row r="98" spans="6:22" ht="15.75" customHeight="1"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S98" s="35"/>
      <c r="T98" s="35"/>
      <c r="U98" s="34"/>
      <c r="V98" s="35"/>
    </row>
    <row r="99" spans="6:22" ht="15.75" customHeight="1"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S99" s="35"/>
      <c r="T99" s="35"/>
      <c r="U99" s="34"/>
      <c r="V99" s="35"/>
    </row>
    <row r="100" spans="6:22" ht="15.75" customHeight="1"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S100" s="35"/>
      <c r="T100" s="35"/>
      <c r="U100" s="34"/>
      <c r="V100" s="35"/>
    </row>
    <row r="101" spans="6:22" ht="15.75" customHeight="1"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S101" s="35"/>
      <c r="T101" s="35"/>
      <c r="U101" s="34"/>
      <c r="V101" s="35"/>
    </row>
    <row r="102" spans="6:22" ht="15.75" customHeight="1"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S102" s="35"/>
      <c r="T102" s="35"/>
      <c r="U102" s="34"/>
      <c r="V102" s="35"/>
    </row>
    <row r="103" spans="6:22" ht="15.75" customHeight="1"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S103" s="35"/>
      <c r="T103" s="35"/>
      <c r="U103" s="34"/>
      <c r="V103" s="35"/>
    </row>
    <row r="104" spans="6:22" ht="15.75" customHeight="1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S104" s="35"/>
      <c r="T104" s="35"/>
      <c r="U104" s="34"/>
      <c r="V104" s="35"/>
    </row>
    <row r="105" spans="6:22" ht="15.75" customHeight="1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S105" s="35"/>
      <c r="T105" s="35"/>
      <c r="U105" s="34"/>
      <c r="V105" s="35"/>
    </row>
    <row r="106" spans="6:22" ht="15.75" customHeight="1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S106" s="35"/>
      <c r="T106" s="35"/>
      <c r="U106" s="34"/>
      <c r="V106" s="35"/>
    </row>
    <row r="107" spans="6:22" ht="15.75" customHeight="1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S107" s="35"/>
      <c r="T107" s="35"/>
      <c r="U107" s="34"/>
      <c r="V107" s="35"/>
    </row>
    <row r="108" spans="6:22" ht="15.75" customHeight="1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S108" s="35"/>
      <c r="T108" s="35"/>
      <c r="U108" s="34"/>
      <c r="V108" s="35"/>
    </row>
    <row r="109" spans="6:22" ht="15.75" customHeight="1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S109" s="35"/>
      <c r="T109" s="35"/>
      <c r="U109" s="34"/>
      <c r="V109" s="35"/>
    </row>
    <row r="110" spans="6:22" ht="15.75" customHeight="1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S110" s="35"/>
      <c r="T110" s="35"/>
      <c r="U110" s="34"/>
      <c r="V110" s="35"/>
    </row>
    <row r="111" spans="6:22" ht="15.75" customHeight="1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S111" s="35"/>
      <c r="T111" s="35"/>
      <c r="U111" s="34"/>
      <c r="V111" s="35"/>
    </row>
    <row r="112" spans="6:22" ht="15.75" customHeight="1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S112" s="35"/>
      <c r="T112" s="35"/>
      <c r="U112" s="34"/>
      <c r="V112" s="35"/>
    </row>
    <row r="113" spans="6:22" ht="15.75" customHeight="1"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S113" s="35"/>
      <c r="T113" s="35"/>
      <c r="U113" s="34"/>
      <c r="V113" s="35"/>
    </row>
    <row r="114" spans="6:22" ht="15.75" customHeight="1"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S114" s="35"/>
      <c r="T114" s="35"/>
      <c r="U114" s="34"/>
      <c r="V114" s="35"/>
    </row>
    <row r="115" spans="6:22" ht="15.75" customHeight="1"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S115" s="35"/>
      <c r="T115" s="35"/>
      <c r="U115" s="34"/>
      <c r="V115" s="35"/>
    </row>
    <row r="116" spans="6:22" ht="15.75" customHeight="1"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S116" s="35"/>
      <c r="T116" s="35"/>
      <c r="U116" s="34"/>
      <c r="V116" s="35"/>
    </row>
    <row r="117" spans="6:22" ht="15.75" customHeight="1"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S117" s="35"/>
      <c r="T117" s="35"/>
      <c r="U117" s="34"/>
      <c r="V117" s="35"/>
    </row>
    <row r="118" spans="6:22" ht="15.75" customHeight="1"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S118" s="35"/>
      <c r="T118" s="35"/>
      <c r="U118" s="34"/>
      <c r="V118" s="35"/>
    </row>
    <row r="119" spans="6:22" ht="15.75" customHeight="1"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S119" s="35"/>
      <c r="T119" s="35"/>
      <c r="U119" s="34"/>
      <c r="V119" s="35"/>
    </row>
    <row r="120" spans="6:22" ht="15.75" customHeight="1"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S120" s="35"/>
      <c r="T120" s="35"/>
      <c r="U120" s="34"/>
      <c r="V120" s="35"/>
    </row>
    <row r="121" spans="6:22" ht="15.75" customHeight="1"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S121" s="35"/>
      <c r="T121" s="35"/>
      <c r="U121" s="34"/>
      <c r="V121" s="35"/>
    </row>
    <row r="122" spans="6:22" ht="15.75" customHeight="1"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S122" s="35"/>
      <c r="T122" s="35"/>
      <c r="U122" s="34"/>
      <c r="V122" s="35"/>
    </row>
    <row r="123" spans="6:22" ht="15.75" customHeight="1"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S123" s="35"/>
      <c r="T123" s="35"/>
      <c r="U123" s="34"/>
      <c r="V123" s="35"/>
    </row>
    <row r="124" spans="6:22" ht="15.75" customHeight="1"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S124" s="35"/>
      <c r="T124" s="35"/>
      <c r="U124" s="34"/>
      <c r="V124" s="35"/>
    </row>
    <row r="125" spans="6:22" ht="15.75" customHeight="1"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S125" s="35"/>
      <c r="T125" s="35"/>
      <c r="U125" s="34"/>
      <c r="V125" s="35"/>
    </row>
    <row r="126" spans="6:22" ht="15.75" customHeight="1"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S126" s="35"/>
      <c r="T126" s="35"/>
      <c r="U126" s="34"/>
      <c r="V126" s="35"/>
    </row>
    <row r="127" spans="6:22" ht="15.75" customHeight="1"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S127" s="35"/>
      <c r="T127" s="35"/>
      <c r="U127" s="34"/>
      <c r="V127" s="35"/>
    </row>
    <row r="128" spans="6:22" ht="15.75" customHeight="1"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S128" s="35"/>
      <c r="T128" s="35"/>
      <c r="U128" s="34"/>
      <c r="V128" s="35"/>
    </row>
    <row r="129" spans="6:22" ht="15.75" customHeight="1"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S129" s="35"/>
      <c r="T129" s="35"/>
      <c r="U129" s="34"/>
      <c r="V129" s="35"/>
    </row>
    <row r="130" spans="6:22" ht="15.75" customHeight="1"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S130" s="35"/>
      <c r="T130" s="35"/>
      <c r="U130" s="34"/>
      <c r="V130" s="35"/>
    </row>
    <row r="131" spans="6:22" ht="15.75" customHeight="1"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S131" s="35"/>
      <c r="T131" s="35"/>
      <c r="U131" s="34"/>
      <c r="V131" s="35"/>
    </row>
    <row r="132" spans="6:22" ht="15.75" customHeight="1"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S132" s="35"/>
      <c r="T132" s="35"/>
      <c r="U132" s="34"/>
      <c r="V132" s="35"/>
    </row>
    <row r="133" spans="6:22" ht="15.75" customHeight="1"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S133" s="35"/>
      <c r="T133" s="35"/>
      <c r="U133" s="34"/>
      <c r="V133" s="35"/>
    </row>
    <row r="134" spans="6:22" ht="15.75" customHeight="1"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S134" s="35"/>
      <c r="T134" s="35"/>
      <c r="U134" s="34"/>
      <c r="V134" s="35"/>
    </row>
    <row r="135" spans="6:22" ht="15.75" customHeight="1"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S135" s="35"/>
      <c r="T135" s="35"/>
      <c r="U135" s="34"/>
      <c r="V135" s="35"/>
    </row>
    <row r="136" spans="6:22" ht="15.75" customHeight="1"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S136" s="35"/>
      <c r="T136" s="35"/>
      <c r="U136" s="34"/>
      <c r="V136" s="35"/>
    </row>
    <row r="137" spans="6:22" ht="15.75" customHeight="1"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S137" s="35"/>
      <c r="T137" s="35"/>
      <c r="U137" s="34"/>
      <c r="V137" s="35"/>
    </row>
    <row r="138" spans="6:22" ht="15.75" customHeight="1"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S138" s="35"/>
      <c r="T138" s="35"/>
      <c r="U138" s="34"/>
      <c r="V138" s="35"/>
    </row>
    <row r="139" spans="6:22" ht="15.75" customHeight="1"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S139" s="35"/>
      <c r="T139" s="35"/>
      <c r="U139" s="34"/>
      <c r="V139" s="35"/>
    </row>
    <row r="140" spans="6:22" ht="15.75" customHeight="1"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S140" s="35"/>
      <c r="T140" s="35"/>
      <c r="U140" s="34"/>
      <c r="V140" s="35"/>
    </row>
    <row r="141" spans="6:22" ht="15.75" customHeight="1"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4"/>
      <c r="V141" s="35"/>
    </row>
    <row r="142" spans="6:22" ht="15.75" customHeight="1"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4"/>
      <c r="V142" s="35"/>
    </row>
    <row r="143" spans="6:22" ht="15.75" customHeight="1"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4"/>
      <c r="V143" s="35"/>
    </row>
    <row r="144" spans="6:22" ht="15.75" customHeight="1"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4"/>
      <c r="V144" s="35"/>
    </row>
    <row r="145" spans="6:22" ht="15.75" customHeight="1"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4"/>
      <c r="V145" s="35"/>
    </row>
    <row r="146" spans="6:22" ht="15.75" customHeight="1"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4"/>
      <c r="V146" s="35"/>
    </row>
    <row r="147" spans="6:22" ht="15.75" customHeight="1"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4"/>
      <c r="V147" s="35"/>
    </row>
    <row r="148" spans="6:22" ht="15.75" customHeight="1"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4"/>
      <c r="V148" s="35"/>
    </row>
    <row r="149" spans="6:22" ht="15.75" customHeight="1"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4"/>
      <c r="V149" s="35"/>
    </row>
    <row r="150" spans="6:22" ht="15.75" customHeight="1"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4"/>
      <c r="V150" s="35"/>
    </row>
    <row r="151" spans="6:22" ht="15.75" customHeight="1"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4"/>
      <c r="V151" s="35"/>
    </row>
    <row r="152" spans="6:22" ht="15.75" customHeight="1"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4"/>
      <c r="V152" s="35"/>
    </row>
    <row r="153" spans="6:22" ht="15.75" customHeight="1"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4"/>
      <c r="V153" s="35"/>
    </row>
    <row r="154" spans="6:22" ht="15.75" customHeight="1"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4"/>
      <c r="V154" s="35"/>
    </row>
    <row r="155" spans="6:22" ht="15.75" customHeight="1"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4"/>
      <c r="V155" s="35"/>
    </row>
    <row r="156" spans="6:22" ht="15.75" customHeight="1"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4"/>
      <c r="V156" s="35"/>
    </row>
    <row r="157" spans="6:22" ht="15.75" customHeight="1"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4"/>
      <c r="V157" s="35"/>
    </row>
    <row r="158" spans="6:22" ht="15.75" customHeight="1"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4"/>
      <c r="V158" s="35"/>
    </row>
    <row r="159" spans="6:22" ht="15.75" customHeight="1"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4"/>
      <c r="V159" s="35"/>
    </row>
    <row r="160" spans="6:22" ht="15.75" customHeight="1"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4"/>
      <c r="V160" s="35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1 - Stipulated Scalar Energy Balancing Account Calculation&amp;R&amp;"arial"&amp;11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6"/>
  <sheetViews>
    <sheetView showGridLines="0" zoomScale="90" zoomScaleNormal="90" zoomScaleSheetLayoutView="70" workbookViewId="0">
      <selection activeCell="C14" sqref="C14"/>
    </sheetView>
  </sheetViews>
  <sheetFormatPr defaultColWidth="9.140625" defaultRowHeight="15.75" customHeight="1"/>
  <cols>
    <col min="1" max="1" width="5.5703125" style="78" customWidth="1"/>
    <col min="2" max="2" width="37.140625" style="79" customWidth="1"/>
    <col min="3" max="3" width="2.28515625" style="35" customWidth="1"/>
    <col min="4" max="4" width="25.140625" style="42" customWidth="1"/>
    <col min="5" max="5" width="2.28515625" style="35" customWidth="1"/>
    <col min="6" max="10" width="11.42578125" style="35" customWidth="1"/>
    <col min="11" max="11" width="11.7109375" style="35" customWidth="1"/>
    <col min="12" max="12" width="11.42578125" style="35" customWidth="1"/>
    <col min="13" max="14" width="12.5703125" style="35" bestFit="1" customWidth="1"/>
    <col min="15" max="17" width="11.42578125" style="35" customWidth="1"/>
    <col min="18" max="18" width="2.28515625" style="35" customWidth="1"/>
    <col min="19" max="19" width="12.57031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Index'!B10&amp;" - "&amp;'Workpaper Index'!C10</f>
        <v>Exhibit 2 - Docket 09-035-15 Commission Order Calculation (Dynamic Annual Allocation Factor)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O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>EDATE(O6,1)</f>
        <v>41579</v>
      </c>
      <c r="Q6" s="28">
        <f>EDATE(P6,1)</f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82" t="str">
        <f>+'Workpaper Index'!$B$17</f>
        <v>(5.1)</v>
      </c>
      <c r="F10" s="39">
        <f>+'[4](5.1) UT Allocated Actual NPC'!I$78</f>
        <v>58621674.915911429</v>
      </c>
      <c r="G10" s="39">
        <f>+'[4](5.1) UT Allocated Actual NPC'!J$78</f>
        <v>50184236.915382475</v>
      </c>
      <c r="H10" s="39">
        <f>+'[4](5.1) UT Allocated Actual NPC'!K$78</f>
        <v>52024816.80098033</v>
      </c>
      <c r="I10" s="39">
        <f>+'[4](5.1) UT Allocated Actual NPC'!L$78</f>
        <v>47644799.832439214</v>
      </c>
      <c r="J10" s="39">
        <f>+'[4](5.1) UT Allocated Actual NPC'!M$78</f>
        <v>51538029.727268748</v>
      </c>
      <c r="K10" s="39">
        <f>+'[4](5.1) UT Allocated Actual NPC'!N$78</f>
        <v>56604959.848274179</v>
      </c>
      <c r="L10" s="39">
        <f>+'[4](5.1) UT Allocated Actual NPC'!O$78</f>
        <v>76095599.013290346</v>
      </c>
      <c r="M10" s="39">
        <f>+'[4](5.1) UT Allocated Actual NPC'!P$78</f>
        <v>68477796.505149767</v>
      </c>
      <c r="N10" s="39">
        <f>+'[4](5.1) UT Allocated Actual NPC'!Q$78</f>
        <v>60820545.207127407</v>
      </c>
      <c r="O10" s="39">
        <f>+'[4](5.1) UT Allocated Actual NPC'!R$78</f>
        <v>0</v>
      </c>
      <c r="P10" s="39">
        <f>+'[4](5.1) UT Allocated Actual NPC'!S$78</f>
        <v>0</v>
      </c>
      <c r="Q10" s="39">
        <f>+'[4](5.1) UT Allocated Actual NPC'!T$78</f>
        <v>0</v>
      </c>
      <c r="R10" s="18"/>
      <c r="S10" s="39">
        <f>+SUM(F10:Q10)</f>
        <v>522012458.7658239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Index'!$B$30</f>
        <v>(7.1)</v>
      </c>
      <c r="F11" s="39">
        <f>+INDEX('[4](7.1) Wheeling Revenues'!$54:$54,1,MATCH(F$6,'[4](7.1) Wheeling Revenues'!$10:$10,0))</f>
        <v>-2631831.6499509481</v>
      </c>
      <c r="G11" s="39">
        <f>+INDEX('[4](7.1) Wheeling Revenues'!$54:$54,1,MATCH(G$6,'[4](7.1) Wheeling Revenues'!$10:$10,0))</f>
        <v>-2620482.5010365178</v>
      </c>
      <c r="H11" s="39">
        <f>+INDEX('[4](7.1) Wheeling Revenues'!$54:$54,1,MATCH(H$6,'[4](7.1) Wheeling Revenues'!$10:$10,0))</f>
        <v>-2378893.449179153</v>
      </c>
      <c r="I11" s="39">
        <f>+INDEX('[4](7.1) Wheeling Revenues'!$54:$54,1,MATCH(I$6,'[4](7.1) Wheeling Revenues'!$10:$10,0))</f>
        <v>-2777340.3790668081</v>
      </c>
      <c r="J11" s="39">
        <f>+INDEX('[4](7.1) Wheeling Revenues'!$54:$54,1,MATCH(J$6,'[4](7.1) Wheeling Revenues'!$10:$10,0))</f>
        <v>-3665684.0571883535</v>
      </c>
      <c r="K11" s="39">
        <f>+INDEX('[4](7.1) Wheeling Revenues'!$54:$54,1,MATCH(K$6,'[4](7.1) Wheeling Revenues'!$10:$10,0))</f>
        <v>-3454315.241065504</v>
      </c>
      <c r="L11" s="39">
        <f>+INDEX('[4](7.1) Wheeling Revenues'!$54:$54,1,MATCH(L$6,'[4](7.1) Wheeling Revenues'!$10:$10,0))</f>
        <v>-3706470.9299448757</v>
      </c>
      <c r="M11" s="39">
        <f>+INDEX('[4](7.1) Wheeling Revenues'!$54:$54,1,MATCH(M$6,'[4](7.1) Wheeling Revenues'!$10:$10,0))</f>
        <v>-3428572.1574649317</v>
      </c>
      <c r="N11" s="39">
        <f>+INDEX('[4](7.1) Wheeling Revenues'!$54:$54,1,MATCH(N$6,'[4](7.1) Wheeling Revenues'!$10:$10,0))</f>
        <v>-3376409.3534651273</v>
      </c>
      <c r="O11" s="39">
        <f>+INDEX('[4](7.1) Wheeling Revenues'!$54:$54,1,MATCH(O$6,'[4](7.1) Wheeling Revenues'!$10:$10,0))</f>
        <v>0</v>
      </c>
      <c r="P11" s="39">
        <f>+INDEX('[4](7.1) Wheeling Revenues'!$54:$54,1,MATCH(P$6,'[4](7.1) Wheeling Revenues'!$10:$10,0))</f>
        <v>0</v>
      </c>
      <c r="Q11" s="39">
        <f>+INDEX('[4](7.1) Wheeling Revenues'!$54:$54,1,MATCH(Q$6,'[4](7.1) Wheeling Revenues'!$10:$10,0))</f>
        <v>0</v>
      </c>
      <c r="R11" s="18"/>
      <c r="S11" s="39">
        <f>+SUM(F11:Q11)</f>
        <v>-28039999.718362223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55989843.265960477</v>
      </c>
      <c r="G12" s="58">
        <f>+SUM(G10:G11)</f>
        <v>47563754.414345957</v>
      </c>
      <c r="H12" s="58">
        <f>+SUM(H10:H11)</f>
        <v>49645923.351801179</v>
      </c>
      <c r="I12" s="58">
        <f t="shared" ref="I12:Q12" si="1">+SUM(I10:I11)</f>
        <v>44867459.453372404</v>
      </c>
      <c r="J12" s="58">
        <f t="shared" si="1"/>
        <v>47872345.670080394</v>
      </c>
      <c r="K12" s="58">
        <f t="shared" si="1"/>
        <v>53150644.607208677</v>
      </c>
      <c r="L12" s="58">
        <f t="shared" si="1"/>
        <v>72389128.083345473</v>
      </c>
      <c r="M12" s="58">
        <f t="shared" si="1"/>
        <v>65049224.347684838</v>
      </c>
      <c r="N12" s="58">
        <f t="shared" si="1"/>
        <v>57444135.853662282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493972459.04746175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Index'!$B$34</f>
        <v>(8.2)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+INDEX('[4](8.3) Utah Sales'!15:15,MATCH(L6,'[4](8.3) Utah Sales'!9:9,0))</f>
        <v>2336350.3054999998</v>
      </c>
      <c r="M14" s="39">
        <f>+INDEX('[4](8.3) Utah Sales'!15:15,MATCH(M6,'[4](8.3) Utah Sales'!9:9,0))</f>
        <v>2443953.0180000002</v>
      </c>
      <c r="N14" s="39">
        <f>+INDEX('[4](8.3) Utah Sales'!15:15,MATCH(N6,'[4](8.3) Utah Sales'!9:9,0))</f>
        <v>1975610.0169999998</v>
      </c>
      <c r="O14" s="39">
        <f>+INDEX('[4](8.3) Utah Sales'!15:15,MATCH(O6,'[4](8.3) Utah Sales'!9:9,0))</f>
        <v>0</v>
      </c>
      <c r="P14" s="39">
        <f>+INDEX('[4](8.3) Utah Sales'!15:15,MATCH(P6,'[4](8.3) Utah Sales'!9:9,0))</f>
        <v>0</v>
      </c>
      <c r="Q14" s="39">
        <f>+INDEX('[4](8.3) Utah Sales'!15:15,MATCH(Q6,'[4](8.3) Utah Sales'!9:9,0))</f>
        <v>0</v>
      </c>
      <c r="R14" s="18"/>
      <c r="S14" s="39">
        <f>+SUM(F14:Q14)</f>
        <v>18488411.052999999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N16" si="2">+F12/F14</f>
        <v>25.760782109730179</v>
      </c>
      <c r="G16" s="49">
        <f t="shared" si="2"/>
        <v>25.632056610071022</v>
      </c>
      <c r="H16" s="49">
        <f t="shared" si="2"/>
        <v>26.794187792421919</v>
      </c>
      <c r="I16" s="49">
        <f t="shared" si="2"/>
        <v>25.101079414117098</v>
      </c>
      <c r="J16" s="49">
        <f t="shared" si="2"/>
        <v>24.987484018766075</v>
      </c>
      <c r="K16" s="49">
        <f t="shared" si="2"/>
        <v>24.753196497639994</v>
      </c>
      <c r="L16" s="49">
        <f t="shared" si="2"/>
        <v>30.983850286891613</v>
      </c>
      <c r="M16" s="49">
        <f t="shared" si="2"/>
        <v>26.616397233739637</v>
      </c>
      <c r="N16" s="49">
        <f t="shared" si="2"/>
        <v>29.076657518112942</v>
      </c>
      <c r="O16" s="49"/>
      <c r="P16" s="49"/>
      <c r="Q16" s="49"/>
      <c r="R16" s="18"/>
      <c r="S16" s="49">
        <f>+S12/S14</f>
        <v>26.717950917004732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Index'!$B$24</f>
        <v>(6.1)</v>
      </c>
      <c r="E20" s="54"/>
      <c r="F20" s="39">
        <f>+INDEX('[4](6.1) Prorated Base NPC'!$42:$42,1,MATCH(F$6,'[4](6.1) Prorated Base NPC'!$30:$30,0))</f>
        <v>52796307.735829368</v>
      </c>
      <c r="G20" s="39">
        <f>+INDEX('[4](6.1) Prorated Base NPC'!$42:$42,1,MATCH(G$6,'[4](6.1) Prorated Base NPC'!$30:$30,0))</f>
        <v>47750729.137930557</v>
      </c>
      <c r="H20" s="39">
        <f>+INDEX('[4](6.1) Prorated Base NPC'!$42:$42,1,MATCH(H$6,'[4](6.1) Prorated Base NPC'!$30:$30,0))</f>
        <v>51724279.274898469</v>
      </c>
      <c r="I20" s="39">
        <f>+INDEX('[4](6.1) Prorated Base NPC'!$42:$42,1,MATCH(I$6,'[4](6.1) Prorated Base NPC'!$30:$30,0))</f>
        <v>49460054.219588622</v>
      </c>
      <c r="J20" s="39">
        <f>+INDEX('[4](6.1) Prorated Base NPC'!$42:$42,1,MATCH(J$6,'[4](6.1) Prorated Base NPC'!$30:$30,0))</f>
        <v>51997639.587114565</v>
      </c>
      <c r="K20" s="39">
        <f>+INDEX('[4](6.1) Prorated Base NPC'!$42:$42,1,MATCH(K$6,'[4](6.1) Prorated Base NPC'!$30:$30,0))</f>
        <v>53284300.664967395</v>
      </c>
      <c r="L20" s="39">
        <f>+INDEX('[4](6.1) Prorated Base NPC'!$42:$42,1,MATCH(L$6,'[4](6.1) Prorated Base NPC'!$30:$30,0))</f>
        <v>60964992.780957758</v>
      </c>
      <c r="M20" s="39">
        <f>+INDEX('[4](6.1) Prorated Base NPC'!$42:$42,1,MATCH(M$6,'[4](6.1) Prorated Base NPC'!$30:$30,0))</f>
        <v>62157762.395888053</v>
      </c>
      <c r="N20" s="39">
        <f>+INDEX('[4](6.1) Prorated Base NPC'!$42:$42,1,MATCH(N$6,'[4](6.1) Prorated Base NPC'!$30:$30,0))</f>
        <v>54972668.512711853</v>
      </c>
      <c r="O20" s="39"/>
      <c r="P20" s="39"/>
      <c r="Q20" s="39"/>
      <c r="R20" s="18"/>
      <c r="S20" s="39">
        <f>+SUM(F20:Q20)</f>
        <v>485108734.30988669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Index'!$B$30</f>
        <v>(7.1)</v>
      </c>
      <c r="E21" s="54"/>
      <c r="F21" s="39">
        <f>+INDEX('[4](7.1) Wheeling Revenues'!$68:$68,MATCH(F$6,'[4](7.1) Wheeling Revenues'!$10:$10,0))</f>
        <v>-2684824.28561325</v>
      </c>
      <c r="G21" s="39">
        <f>+INDEX('[4](7.1) Wheeling Revenues'!$68:$68,MATCH(G$6,'[4](7.1) Wheeling Revenues'!$10:$10,0))</f>
        <v>-2684824.28561325</v>
      </c>
      <c r="H21" s="39">
        <f>+INDEX('[4](7.1) Wheeling Revenues'!$68:$68,MATCH(H$6,'[4](7.1) Wheeling Revenues'!$10:$10,0))</f>
        <v>-2684824.28561325</v>
      </c>
      <c r="I21" s="39">
        <f>+INDEX('[4](7.1) Wheeling Revenues'!$68:$68,MATCH(I$6,'[4](7.1) Wheeling Revenues'!$10:$10,0))</f>
        <v>-2684824.28561325</v>
      </c>
      <c r="J21" s="39">
        <f>+INDEX('[4](7.1) Wheeling Revenues'!$68:$68,MATCH(J$6,'[4](7.1) Wheeling Revenues'!$10:$10,0))</f>
        <v>-2684824.28561325</v>
      </c>
      <c r="K21" s="39">
        <f>+INDEX('[4](7.1) Wheeling Revenues'!$68:$68,MATCH(K$6,'[4](7.1) Wheeling Revenues'!$10:$10,0))</f>
        <v>-2684824.28561325</v>
      </c>
      <c r="L21" s="39">
        <f>+INDEX('[4](7.1) Wheeling Revenues'!$68:$68,MATCH(L$6,'[4](7.1) Wheeling Revenues'!$10:$10,0))</f>
        <v>-2684824.28561325</v>
      </c>
      <c r="M21" s="39">
        <f>+INDEX('[4](7.1) Wheeling Revenues'!$68:$68,MATCH(M$6,'[4](7.1) Wheeling Revenues'!$10:$10,0))</f>
        <v>-2684824.28561325</v>
      </c>
      <c r="N21" s="39">
        <f>+INDEX('[4](7.1) Wheeling Revenues'!$68:$68,MATCH(N$6,'[4](7.1) Wheeling Revenues'!$10:$10,0))</f>
        <v>-2684824.28561325</v>
      </c>
      <c r="O21" s="39"/>
      <c r="P21" s="39"/>
      <c r="Q21" s="39"/>
      <c r="R21" s="18"/>
      <c r="S21" s="39">
        <f>+SUM(F21:Q21)</f>
        <v>-24163418.57051925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54"/>
      <c r="F22" s="58">
        <f>+SUM(F20:F21)</f>
        <v>50111483.450216115</v>
      </c>
      <c r="G22" s="58">
        <f>+SUM(G20:G21)</f>
        <v>45065904.852317303</v>
      </c>
      <c r="H22" s="58">
        <f>+SUM(H20:H21)</f>
        <v>49039454.989285216</v>
      </c>
      <c r="I22" s="58">
        <f t="shared" ref="I22:Q22" si="3">+SUM(I20:I21)</f>
        <v>46775229.933975369</v>
      </c>
      <c r="J22" s="58">
        <f t="shared" si="3"/>
        <v>49312815.301501319</v>
      </c>
      <c r="K22" s="58">
        <f t="shared" si="3"/>
        <v>50599476.379354149</v>
      </c>
      <c r="L22" s="58">
        <f t="shared" si="3"/>
        <v>58280168.495344505</v>
      </c>
      <c r="M22" s="58">
        <f t="shared" si="3"/>
        <v>59472938.110274807</v>
      </c>
      <c r="N22" s="58">
        <f t="shared" si="3"/>
        <v>52287844.227098599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460945315.73936737</v>
      </c>
      <c r="T22" s="33"/>
      <c r="U22" s="34"/>
    </row>
    <row r="23" spans="1:21" ht="15.75" customHeight="1">
      <c r="A23" s="22"/>
      <c r="B23" s="31"/>
      <c r="C23" s="36"/>
      <c r="E23" s="5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54"/>
      <c r="F24" s="39">
        <f>+INDEX('[4](6.1) Prorated Base NPC'!$41:$41,1,MATCH(F$6,'[4](6.1) Prorated Base NPC'!$30:$30,0))</f>
        <v>1982626.99979</v>
      </c>
      <c r="G24" s="39">
        <f>+INDEX('[4](6.1) Prorated Base NPC'!$41:$41,1,MATCH(G$6,'[4](6.1) Prorated Base NPC'!$30:$30,0))</f>
        <v>1789929.9980000001</v>
      </c>
      <c r="H24" s="39">
        <f>+INDEX('[4](6.1) Prorated Base NPC'!$41:$41,1,MATCH(H$6,'[4](6.1) Prorated Base NPC'!$30:$30,0))</f>
        <v>1910070.0009899999</v>
      </c>
      <c r="I24" s="39">
        <f>+INDEX('[4](6.1) Prorated Base NPC'!$41:$41,1,MATCH(I$6,'[4](6.1) Prorated Base NPC'!$30:$30,0))</f>
        <v>1856810.0009900001</v>
      </c>
      <c r="J24" s="39">
        <f>+INDEX('[4](6.1) Prorated Base NPC'!$41:$41,1,MATCH(J$6,'[4](6.1) Prorated Base NPC'!$30:$30,0))</f>
        <v>1998460.00202</v>
      </c>
      <c r="K24" s="39">
        <f>+INDEX('[4](6.1) Prorated Base NPC'!$41:$41,1,MATCH(K$6,'[4](6.1) Prorated Base NPC'!$30:$30,0))</f>
        <v>1912132.46205</v>
      </c>
      <c r="L24" s="39">
        <f>+INDEX('[4](6.1) Prorated Base NPC'!$41:$41,1,MATCH(L$6,'[4](6.1) Prorated Base NPC'!$30:$30,0))</f>
        <v>2266364.4785400005</v>
      </c>
      <c r="M24" s="39">
        <f>+INDEX('[4](6.1) Prorated Base NPC'!$41:$41,1,MATCH(M$6,'[4](6.1) Prorated Base NPC'!$30:$30,0))</f>
        <v>2314401.9906899994</v>
      </c>
      <c r="N24" s="39">
        <f>+INDEX('[4](6.1) Prorated Base NPC'!$41:$41,1,MATCH(N$6,'[4](6.1) Prorated Base NPC'!$30:$30,0))</f>
        <v>1968925.9935399997</v>
      </c>
      <c r="O24" s="39"/>
      <c r="P24" s="39"/>
      <c r="Q24" s="39"/>
      <c r="R24" s="18"/>
      <c r="S24" s="39">
        <f>+SUM(F24:Q24)</f>
        <v>17999721.92661</v>
      </c>
      <c r="T24" s="33"/>
      <c r="U24" s="34"/>
    </row>
    <row r="25" spans="1:21" ht="15.75" customHeight="1">
      <c r="A25" s="22"/>
      <c r="B25" s="31"/>
      <c r="C25" s="36"/>
      <c r="E25" s="5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54"/>
      <c r="F26" s="49">
        <f>+F22/F24</f>
        <v>25.275295582842322</v>
      </c>
      <c r="G26" s="49">
        <f>+G22/G24</f>
        <v>25.177467779562459</v>
      </c>
      <c r="H26" s="49">
        <f>+H22/H24</f>
        <v>25.674166372890937</v>
      </c>
      <c r="I26" s="49">
        <f t="shared" ref="I26:N26" si="4">+I22/I24</f>
        <v>25.191177292795764</v>
      </c>
      <c r="J26" s="49">
        <f t="shared" si="4"/>
        <v>24.675407689749605</v>
      </c>
      <c r="K26" s="49">
        <f t="shared" si="4"/>
        <v>26.462327994320216</v>
      </c>
      <c r="L26" s="49">
        <f t="shared" si="4"/>
        <v>25.715267357565004</v>
      </c>
      <c r="M26" s="49">
        <f t="shared" si="4"/>
        <v>25.696892047929826</v>
      </c>
      <c r="N26" s="49">
        <f t="shared" si="4"/>
        <v>26.556531021812805</v>
      </c>
      <c r="O26" s="49"/>
      <c r="P26" s="49"/>
      <c r="Q26" s="49"/>
      <c r="R26" s="18"/>
      <c r="S26" s="49">
        <f>+S22/S24</f>
        <v>25.608468709615231</v>
      </c>
      <c r="T26" s="33"/>
      <c r="U26" s="34"/>
    </row>
    <row r="27" spans="1:21" ht="15.75" customHeight="1">
      <c r="A27" s="22"/>
      <c r="B27" s="48"/>
      <c r="C27" s="36"/>
      <c r="E27" s="5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5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5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54"/>
      <c r="F30" s="60">
        <f t="shared" ref="F30:N30" si="5">+F16-F26</f>
        <v>0.48548652688785765</v>
      </c>
      <c r="G30" s="60">
        <f t="shared" si="5"/>
        <v>0.45458883050856258</v>
      </c>
      <c r="H30" s="60">
        <f t="shared" si="5"/>
        <v>1.1200214195309819</v>
      </c>
      <c r="I30" s="60">
        <f t="shared" si="5"/>
        <v>-9.0097878678665921E-2</v>
      </c>
      <c r="J30" s="60">
        <f t="shared" si="5"/>
        <v>0.31207632901647031</v>
      </c>
      <c r="K30" s="60">
        <f t="shared" si="5"/>
        <v>-1.7091314966802216</v>
      </c>
      <c r="L30" s="60">
        <f t="shared" si="5"/>
        <v>5.2685829293266089</v>
      </c>
      <c r="M30" s="60">
        <f t="shared" si="5"/>
        <v>0.91950518580981111</v>
      </c>
      <c r="N30" s="60">
        <f t="shared" si="5"/>
        <v>2.5201264963001364</v>
      </c>
      <c r="O30" s="60"/>
      <c r="P30" s="60"/>
      <c r="Q30" s="60"/>
      <c r="R30" s="18"/>
      <c r="S30" s="60">
        <f>+S16-S26</f>
        <v>1.109482207389501</v>
      </c>
      <c r="T30" s="33"/>
      <c r="U30" s="34"/>
    </row>
    <row r="31" spans="1:21" ht="15.75" customHeight="1">
      <c r="A31" s="22"/>
      <c r="B31" s="31"/>
      <c r="C31" s="36"/>
      <c r="E31" s="54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54"/>
      <c r="F32" s="39">
        <f t="shared" ref="F32:J32" si="6">+F30*F14</f>
        <v>1055182.0372689518</v>
      </c>
      <c r="G32" s="39">
        <f t="shared" si="6"/>
        <v>843551.17588647129</v>
      </c>
      <c r="H32" s="39">
        <f t="shared" si="6"/>
        <v>2075244.7499877959</v>
      </c>
      <c r="I32" s="39">
        <f t="shared" si="6"/>
        <v>-161047.37377056334</v>
      </c>
      <c r="J32" s="39">
        <f t="shared" si="6"/>
        <v>597892.36430951243</v>
      </c>
      <c r="K32" s="45">
        <f>+K30*K14</f>
        <v>-3669887.2719609393</v>
      </c>
      <c r="L32" s="45">
        <f t="shared" ref="L32:N32" si="7">+L30*L14</f>
        <v>12309255.336484306</v>
      </c>
      <c r="M32" s="45">
        <f t="shared" si="7"/>
        <v>2247227.4739265386</v>
      </c>
      <c r="N32" s="45">
        <f t="shared" si="7"/>
        <v>4978787.1501976624</v>
      </c>
      <c r="O32" s="39"/>
      <c r="P32" s="45"/>
      <c r="Q32" s="45"/>
      <c r="R32" s="18"/>
      <c r="S32" s="39">
        <f>+SUM(F32:Q32)</f>
        <v>20276205.642329738</v>
      </c>
      <c r="T32" s="33"/>
      <c r="U32" s="34"/>
    </row>
    <row r="33" spans="1:21" ht="15.75" customHeight="1">
      <c r="A33" s="22"/>
      <c r="B33" s="31"/>
      <c r="C33" s="36"/>
      <c r="E33" s="5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54"/>
      <c r="F34" s="39">
        <f>F32*0.7</f>
        <v>738627.42608826619</v>
      </c>
      <c r="G34" s="39">
        <f>G32*0.7</f>
        <v>590485.82312052988</v>
      </c>
      <c r="H34" s="39">
        <f>H32*0.7</f>
        <v>1452671.3249914572</v>
      </c>
      <c r="I34" s="39">
        <f t="shared" ref="I34:J34" si="8">I32*0.7</f>
        <v>-112733.16163939433</v>
      </c>
      <c r="J34" s="39">
        <f t="shared" si="8"/>
        <v>418524.65501665865</v>
      </c>
      <c r="K34" s="39">
        <f>K32*0.7</f>
        <v>-2568921.0903726574</v>
      </c>
      <c r="L34" s="39">
        <f t="shared" ref="L34:N34" si="9">L32*0.7</f>
        <v>8616478.7355390135</v>
      </c>
      <c r="M34" s="39">
        <f t="shared" si="9"/>
        <v>1573059.231748577</v>
      </c>
      <c r="N34" s="39">
        <f t="shared" si="9"/>
        <v>3485151.0051383637</v>
      </c>
      <c r="O34" s="39"/>
      <c r="P34" s="39"/>
      <c r="Q34" s="39"/>
      <c r="R34" s="18"/>
      <c r="S34" s="39">
        <f>+SUM(F34:Q34)</f>
        <v>14193343.949630816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54"/>
      <c r="F35" s="37">
        <f>+INDEX('[4](7.1) Wheeling Revenues'!$53:$53,1,MATCH(F$6,'[4](7.1) Wheeling Revenues'!$10:$10,0))</f>
        <v>0</v>
      </c>
      <c r="G35" s="37">
        <f>+INDEX('[4](7.1) Wheeling Revenues'!$53:$53,1,MATCH(G$6,'[4](7.1) Wheeling Revenues'!$10:$10,0))</f>
        <v>0</v>
      </c>
      <c r="H35" s="37">
        <f>+INDEX('[4](7.1) Wheeling Revenues'!$53:$53,1,MATCH(H$6,'[4](7.1) Wheeling Revenues'!$10:$10,0))</f>
        <v>0</v>
      </c>
      <c r="I35" s="37">
        <f>+INDEX('[4](7.1) Wheeling Revenues'!$53:$53,1,MATCH(I$6,'[4](7.1) Wheeling Revenues'!$10:$10,0))</f>
        <v>0</v>
      </c>
      <c r="J35" s="37">
        <f>+INDEX('[4](7.1) Wheeling Revenues'!$53:$53,1,MATCH(J$6,'[4](7.1) Wheeling Revenues'!$10:$10,0))</f>
        <v>0</v>
      </c>
      <c r="K35" s="37">
        <f>+INDEX('[4](7.1) Wheeling Revenues'!$53:$53,1,MATCH(K$6,'[4](7.1) Wheeling Revenues'!$10:$10,0))</f>
        <v>0</v>
      </c>
      <c r="L35" s="37">
        <f>+INDEX('[4](7.1) Wheeling Revenues'!$53:$53,1,MATCH(L$6,'[4](7.1) Wheeling Revenues'!$10:$10,0))</f>
        <v>0</v>
      </c>
      <c r="M35" s="37">
        <f>+INDEX('[4](7.1) Wheeling Revenues'!$53:$53,1,MATCH(M$6,'[4](7.1) Wheeling Revenues'!$10:$10,0))</f>
        <v>0</v>
      </c>
      <c r="N35" s="37">
        <f>+INDEX('[4](7.1) Wheeling Revenues'!$53:$53,1,MATCH(N$6,'[4](7.1) Wheeling Revenues'!$10:$10,0))</f>
        <v>0</v>
      </c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54"/>
      <c r="F36" s="61">
        <f>+SUM(F34:F35)</f>
        <v>738627.42608826619</v>
      </c>
      <c r="G36" s="61">
        <f>+SUM(G34:G35)</f>
        <v>590485.82312052988</v>
      </c>
      <c r="H36" s="61">
        <f>+SUM(H34:H35)</f>
        <v>1452671.3249914572</v>
      </c>
      <c r="I36" s="61">
        <f t="shared" ref="I36:Q36" si="10">+SUM(I34:I35)</f>
        <v>-112733.16163939433</v>
      </c>
      <c r="J36" s="61">
        <f t="shared" si="10"/>
        <v>418524.65501665865</v>
      </c>
      <c r="K36" s="61">
        <f t="shared" si="10"/>
        <v>-2568921.0903726574</v>
      </c>
      <c r="L36" s="61">
        <f t="shared" si="10"/>
        <v>8616478.7355390135</v>
      </c>
      <c r="M36" s="61">
        <f t="shared" si="10"/>
        <v>1573059.231748577</v>
      </c>
      <c r="N36" s="61">
        <f t="shared" si="10"/>
        <v>3485151.0051383637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18"/>
      <c r="S36" s="37">
        <f>+SUM(F36:Q36)</f>
        <v>14193343.949630816</v>
      </c>
      <c r="T36" s="33"/>
      <c r="U36" s="34"/>
    </row>
    <row r="37" spans="1:21" ht="15.75" customHeight="1">
      <c r="A37" s="22"/>
      <c r="B37" s="48"/>
      <c r="C37" s="36"/>
      <c r="E37" s="5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7"/>
      <c r="F40" s="68">
        <v>5.0000000000000001E-3</v>
      </c>
      <c r="G40" s="68">
        <f>+F40</f>
        <v>5.0000000000000001E-3</v>
      </c>
      <c r="H40" s="68">
        <f t="shared" ref="H40:N40" si="11">+G40</f>
        <v>5.0000000000000001E-3</v>
      </c>
      <c r="I40" s="68">
        <f t="shared" si="11"/>
        <v>5.0000000000000001E-3</v>
      </c>
      <c r="J40" s="68">
        <f t="shared" si="11"/>
        <v>5.0000000000000001E-3</v>
      </c>
      <c r="K40" s="68">
        <f t="shared" si="11"/>
        <v>5.0000000000000001E-3</v>
      </c>
      <c r="L40" s="68">
        <f t="shared" si="11"/>
        <v>5.0000000000000001E-3</v>
      </c>
      <c r="M40" s="68">
        <f t="shared" si="11"/>
        <v>5.0000000000000001E-3</v>
      </c>
      <c r="N40" s="68">
        <f t="shared" si="11"/>
        <v>5.0000000000000001E-3</v>
      </c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7"/>
      <c r="F41" s="70">
        <v>0</v>
      </c>
      <c r="G41" s="70">
        <f t="shared" ref="G41:N41" si="12">+F44</f>
        <v>740473.99465348688</v>
      </c>
      <c r="H41" s="70">
        <f t="shared" si="12"/>
        <v>1336138.4023050857</v>
      </c>
      <c r="I41" s="70">
        <f t="shared" si="12"/>
        <v>2799122.0976205468</v>
      </c>
      <c r="J41" s="70">
        <f t="shared" si="12"/>
        <v>2700102.7135651568</v>
      </c>
      <c r="K41" s="70">
        <f t="shared" si="12"/>
        <v>3133174.1937871831</v>
      </c>
      <c r="L41" s="70">
        <f t="shared" si="12"/>
        <v>573496.67165753001</v>
      </c>
      <c r="M41" s="70">
        <f t="shared" si="12"/>
        <v>9214384.0873936787</v>
      </c>
      <c r="N41" s="70">
        <f t="shared" si="12"/>
        <v>10837447.887658596</v>
      </c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7"/>
      <c r="F42" s="70">
        <f>+F36</f>
        <v>738627.42608826619</v>
      </c>
      <c r="G42" s="70">
        <f>+G36</f>
        <v>590485.82312052988</v>
      </c>
      <c r="H42" s="70">
        <f>+H36</f>
        <v>1452671.3249914572</v>
      </c>
      <c r="I42" s="70">
        <f t="shared" ref="I42:N42" si="13">+I36</f>
        <v>-112733.16163939433</v>
      </c>
      <c r="J42" s="70">
        <f t="shared" si="13"/>
        <v>418524.65501665865</v>
      </c>
      <c r="K42" s="70">
        <f t="shared" si="13"/>
        <v>-2568921.0903726574</v>
      </c>
      <c r="L42" s="70">
        <f t="shared" si="13"/>
        <v>8616478.7355390135</v>
      </c>
      <c r="M42" s="70">
        <f t="shared" si="13"/>
        <v>1573059.231748577</v>
      </c>
      <c r="N42" s="70">
        <f t="shared" si="13"/>
        <v>3485151.0051383637</v>
      </c>
      <c r="O42" s="70"/>
      <c r="P42" s="70"/>
      <c r="Q42" s="70"/>
      <c r="R42" s="18"/>
      <c r="S42" s="70">
        <f>+SUM(F42:Q42)</f>
        <v>14193343.949630816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7"/>
      <c r="F43" s="73">
        <f t="shared" ref="F43:H43" si="14">+(F41+0.5*SUM(F42:F42))*F40</f>
        <v>1846.5685652206655</v>
      </c>
      <c r="G43" s="73">
        <f t="shared" si="14"/>
        <v>5178.5845310687591</v>
      </c>
      <c r="H43" s="73">
        <f t="shared" si="14"/>
        <v>10312.370324004072</v>
      </c>
      <c r="I43" s="73">
        <f t="shared" ref="I43:K43" si="15">+(I41+0.5*SUM(I42:I42))*I40</f>
        <v>13713.777584004249</v>
      </c>
      <c r="J43" s="73">
        <f t="shared" si="15"/>
        <v>14546.825205367431</v>
      </c>
      <c r="K43" s="73">
        <f t="shared" si="15"/>
        <v>9243.5682430042725</v>
      </c>
      <c r="L43" s="73">
        <f t="shared" ref="L43:N43" si="16">+(L41+0.5*SUM(L42:L42))*L40</f>
        <v>24408.680197135182</v>
      </c>
      <c r="M43" s="73">
        <f t="shared" si="16"/>
        <v>50004.568516339838</v>
      </c>
      <c r="N43" s="73">
        <f t="shared" si="16"/>
        <v>62900.116951138887</v>
      </c>
      <c r="O43" s="73"/>
      <c r="P43" s="73"/>
      <c r="Q43" s="73"/>
      <c r="R43" s="18"/>
      <c r="S43" s="39">
        <f>+SUM(F43:Q43)</f>
        <v>192155.06011728337</v>
      </c>
      <c r="T43" s="71"/>
      <c r="U43" s="34"/>
    </row>
    <row r="44" spans="1:21" ht="15.75" customHeight="1" thickBo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7"/>
      <c r="F44" s="85">
        <f t="shared" ref="F44:Q44" si="17">+SUM(F41:F43)</f>
        <v>740473.99465348688</v>
      </c>
      <c r="G44" s="85">
        <f t="shared" si="17"/>
        <v>1336138.4023050857</v>
      </c>
      <c r="H44" s="85">
        <f t="shared" si="17"/>
        <v>2799122.0976205468</v>
      </c>
      <c r="I44" s="85">
        <f t="shared" ref="I44:K44" si="18">+SUM(I41:I43)</f>
        <v>2700102.7135651568</v>
      </c>
      <c r="J44" s="85">
        <f t="shared" si="18"/>
        <v>3133174.1937871831</v>
      </c>
      <c r="K44" s="85">
        <f t="shared" si="18"/>
        <v>573496.67165753001</v>
      </c>
      <c r="L44" s="85">
        <f t="shared" si="17"/>
        <v>9214384.0873936787</v>
      </c>
      <c r="M44" s="85">
        <f t="shared" si="17"/>
        <v>10837447.887658596</v>
      </c>
      <c r="N44" s="85">
        <f t="shared" si="17"/>
        <v>14385499.009748099</v>
      </c>
      <c r="O44" s="85">
        <f t="shared" si="17"/>
        <v>0</v>
      </c>
      <c r="P44" s="85">
        <f t="shared" si="17"/>
        <v>0</v>
      </c>
      <c r="Q44" s="85">
        <f t="shared" si="17"/>
        <v>0</v>
      </c>
      <c r="R44" s="18"/>
      <c r="S44" s="85">
        <f>+SUM(S41:S43)</f>
        <v>14385499.009748099</v>
      </c>
      <c r="T44" s="71"/>
      <c r="U44" s="34"/>
    </row>
    <row r="45" spans="1:21" ht="15.75" customHeight="1" thickTop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R85" s="18"/>
      <c r="U85" s="34"/>
    </row>
    <row r="86" spans="18:21" ht="15.75" customHeight="1">
      <c r="R86" s="18"/>
      <c r="U86" s="34"/>
    </row>
    <row r="87" spans="18:21" ht="15.75" customHeight="1">
      <c r="R87" s="18"/>
      <c r="U87" s="34"/>
    </row>
    <row r="88" spans="18:21" ht="15.75" customHeight="1">
      <c r="R88" s="18"/>
      <c r="U88" s="34"/>
    </row>
    <row r="89" spans="18:21" ht="15.75" customHeight="1">
      <c r="R89" s="18"/>
      <c r="U89" s="34"/>
    </row>
    <row r="90" spans="18:21" ht="15.75" customHeight="1">
      <c r="R90" s="18"/>
      <c r="U90" s="34"/>
    </row>
    <row r="91" spans="18:21" ht="15.75" customHeight="1">
      <c r="R91" s="18"/>
      <c r="U91" s="34"/>
    </row>
    <row r="92" spans="18:21" ht="15.75" customHeight="1">
      <c r="R92" s="18"/>
      <c r="U92" s="34"/>
    </row>
    <row r="93" spans="18:21" ht="15.75" customHeight="1">
      <c r="R93" s="18"/>
      <c r="U93" s="34"/>
    </row>
    <row r="94" spans="18:21" ht="15.75" customHeight="1">
      <c r="R94" s="18"/>
      <c r="U94" s="34"/>
    </row>
    <row r="95" spans="18:21" ht="15.75" customHeight="1">
      <c r="R95" s="18"/>
      <c r="U95" s="34"/>
    </row>
    <row r="96" spans="18:21" ht="15.75" customHeight="1">
      <c r="R96" s="18"/>
      <c r="U96" s="34"/>
    </row>
    <row r="97" spans="18:21" ht="15.75" customHeight="1">
      <c r="R97" s="18"/>
      <c r="U97" s="34"/>
    </row>
    <row r="98" spans="18:21" ht="15.75" customHeight="1">
      <c r="R98" s="18"/>
      <c r="U98" s="34"/>
    </row>
    <row r="99" spans="18:21" ht="15.75" customHeight="1">
      <c r="R99" s="18"/>
      <c r="U99" s="34"/>
    </row>
    <row r="100" spans="18:21" ht="15.75" customHeight="1">
      <c r="R100" s="18"/>
      <c r="U100" s="34"/>
    </row>
    <row r="101" spans="18:21" ht="15.75" customHeight="1">
      <c r="R101" s="18"/>
      <c r="U101" s="34"/>
    </row>
    <row r="102" spans="18:21" ht="15.75" customHeight="1">
      <c r="R102" s="18"/>
      <c r="U102" s="34"/>
    </row>
    <row r="103" spans="18:21" ht="15.75" customHeight="1">
      <c r="R103" s="18"/>
      <c r="U103" s="34"/>
    </row>
    <row r="104" spans="18:21" ht="15.75" customHeight="1">
      <c r="R104" s="18"/>
      <c r="U104" s="34"/>
    </row>
    <row r="105" spans="18:21" ht="15.75" customHeight="1">
      <c r="R105" s="18"/>
      <c r="U105" s="34"/>
    </row>
    <row r="106" spans="18:21" ht="15.75" customHeight="1">
      <c r="R106" s="18"/>
      <c r="U106" s="34"/>
    </row>
    <row r="107" spans="18:21" ht="15.75" customHeight="1">
      <c r="R107" s="18"/>
      <c r="U107" s="34"/>
    </row>
    <row r="108" spans="18:21" ht="15.75" customHeight="1">
      <c r="R108" s="18"/>
      <c r="U108" s="34"/>
    </row>
    <row r="109" spans="18:21" ht="15.75" customHeight="1">
      <c r="R109" s="18"/>
      <c r="U109" s="34"/>
    </row>
    <row r="110" spans="18:21" ht="15.75" customHeight="1">
      <c r="R110" s="18"/>
      <c r="U110" s="34"/>
    </row>
    <row r="111" spans="18:21" ht="15.75" customHeight="1">
      <c r="R111" s="18"/>
      <c r="U111" s="34"/>
    </row>
    <row r="112" spans="18:21" ht="15.75" customHeight="1">
      <c r="R112" s="18"/>
      <c r="U112" s="34"/>
    </row>
    <row r="113" spans="18:21" ht="15.75" customHeight="1">
      <c r="R113" s="18"/>
      <c r="U113" s="34"/>
    </row>
    <row r="114" spans="18:21" ht="15.75" customHeight="1">
      <c r="R114" s="18"/>
      <c r="U114" s="34"/>
    </row>
    <row r="115" spans="18:21" ht="15.75" customHeight="1">
      <c r="R115" s="18"/>
      <c r="U115" s="34"/>
    </row>
    <row r="116" spans="18:21" ht="15.75" customHeight="1">
      <c r="R116" s="18"/>
      <c r="U116" s="34"/>
    </row>
    <row r="117" spans="18:21" ht="15.75" customHeight="1">
      <c r="R117" s="18"/>
      <c r="U117" s="34"/>
    </row>
    <row r="118" spans="18:21" ht="15.75" customHeight="1">
      <c r="R118" s="18"/>
      <c r="U118" s="34"/>
    </row>
    <row r="119" spans="18:21" ht="15.75" customHeight="1">
      <c r="R119" s="18"/>
      <c r="U119" s="34"/>
    </row>
    <row r="120" spans="18:21" ht="15.75" customHeight="1">
      <c r="R120" s="18"/>
      <c r="U120" s="34"/>
    </row>
    <row r="121" spans="18:21" ht="15.75" customHeight="1">
      <c r="R121" s="18"/>
      <c r="U121" s="34"/>
    </row>
    <row r="122" spans="18:21" ht="15.75" customHeight="1">
      <c r="R122" s="18"/>
      <c r="U122" s="34"/>
    </row>
    <row r="123" spans="18:21" ht="15.75" customHeight="1">
      <c r="R123" s="18"/>
      <c r="U123" s="34"/>
    </row>
    <row r="124" spans="18:21" ht="15.75" customHeight="1">
      <c r="R124" s="18"/>
      <c r="U124" s="34"/>
    </row>
    <row r="125" spans="18:21" ht="15.75" customHeight="1">
      <c r="R125" s="18"/>
      <c r="U125" s="34"/>
    </row>
    <row r="126" spans="18:21" ht="15.75" customHeight="1">
      <c r="R126" s="18"/>
      <c r="U126" s="34"/>
    </row>
    <row r="127" spans="18:21" ht="15.75" customHeight="1">
      <c r="R127" s="18"/>
      <c r="U127" s="34"/>
    </row>
    <row r="128" spans="18:21" ht="15.75" customHeight="1">
      <c r="R128" s="18"/>
      <c r="U128" s="34"/>
    </row>
    <row r="129" spans="18:21" ht="15.75" customHeight="1">
      <c r="R129" s="18"/>
      <c r="U129" s="34"/>
    </row>
    <row r="130" spans="18:21" ht="15.75" customHeight="1">
      <c r="R130" s="18"/>
      <c r="U130" s="34"/>
    </row>
    <row r="131" spans="18:21" ht="15.75" customHeight="1">
      <c r="R131" s="18"/>
      <c r="U131" s="34"/>
    </row>
    <row r="132" spans="18:21" ht="15.75" customHeight="1">
      <c r="R132" s="18"/>
      <c r="U132" s="34"/>
    </row>
    <row r="133" spans="18:21" ht="15.75" customHeight="1">
      <c r="R133" s="18"/>
      <c r="U133" s="34"/>
    </row>
    <row r="134" spans="18:21" ht="15.75" customHeight="1">
      <c r="R134" s="18"/>
      <c r="U134" s="34"/>
    </row>
    <row r="135" spans="18:21" ht="15.75" customHeight="1">
      <c r="R135" s="18"/>
      <c r="U135" s="34"/>
    </row>
    <row r="136" spans="18:21" ht="15.75" customHeight="1">
      <c r="R136" s="18"/>
      <c r="U136" s="34"/>
    </row>
    <row r="137" spans="18:21" ht="15.75" customHeight="1">
      <c r="R137" s="18"/>
      <c r="U137" s="34"/>
    </row>
    <row r="138" spans="18:21" ht="15.75" customHeight="1">
      <c r="U138" s="34"/>
    </row>
    <row r="139" spans="18:21" ht="15.75" customHeight="1">
      <c r="U139" s="34"/>
    </row>
    <row r="140" spans="18:21" ht="15.75" customHeight="1">
      <c r="U140" s="34"/>
    </row>
    <row r="141" spans="18:21" ht="15.75" customHeight="1">
      <c r="U141" s="34"/>
    </row>
    <row r="142" spans="18:21" ht="15.75" customHeight="1">
      <c r="U142" s="34"/>
    </row>
    <row r="143" spans="18:21" ht="15.75" customHeight="1">
      <c r="U143" s="34"/>
    </row>
    <row r="144" spans="18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156"/>
  <sheetViews>
    <sheetView showGridLines="0" topLeftCell="G1" zoomScale="90" zoomScaleNormal="90" zoomScaleSheetLayoutView="55" workbookViewId="0">
      <selection activeCell="C14" sqref="C14"/>
    </sheetView>
  </sheetViews>
  <sheetFormatPr defaultColWidth="9.140625" defaultRowHeight="15.75" customHeight="1"/>
  <cols>
    <col min="1" max="1" width="5.5703125" style="78" customWidth="1"/>
    <col min="2" max="2" width="35.28515625" style="79" customWidth="1"/>
    <col min="3" max="3" width="2.28515625" style="35" customWidth="1"/>
    <col min="4" max="4" width="25.140625" style="42" customWidth="1"/>
    <col min="5" max="5" width="2.28515625" style="35" customWidth="1"/>
    <col min="6" max="12" width="11.42578125" style="35" customWidth="1"/>
    <col min="13" max="13" width="12.140625" style="35" bestFit="1" customWidth="1"/>
    <col min="14" max="14" width="12.5703125" style="35" bestFit="1" customWidth="1"/>
    <col min="15" max="17" width="11.42578125" style="35" customWidth="1"/>
    <col min="18" max="18" width="2.28515625" style="35" customWidth="1"/>
    <col min="19" max="19" width="12.57031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Index'!B12&amp;" - "&amp;'Workpaper Index'!C12</f>
        <v>Exhibit 3 - Docket 11-035-200 Stipulation Exhibit A2 Method (Simplified Annual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NPC'!$78:$78,1,MATCH(F$6,'[4](5.1) UT Allocated Actual NPC'!$46:$46,0))</f>
        <v>58621674.915911429</v>
      </c>
      <c r="G10" s="39">
        <f>+INDEX('[4](5.1) UT Allocated Actual NPC'!$78:$78,1,MATCH(G$6,'[4](5.1) UT Allocated Actual NPC'!$46:$46,0))</f>
        <v>50184236.915382475</v>
      </c>
      <c r="H10" s="39">
        <f>+INDEX('[4](5.1) UT Allocated Actual NPC'!$78:$78,1,MATCH(H$6,'[4](5.1) UT Allocated Actual NPC'!$46:$46,0))</f>
        <v>52024816.80098033</v>
      </c>
      <c r="I10" s="39">
        <f>+INDEX('[4](5.1) UT Allocated Actual NPC'!$78:$78,1,MATCH(I$6,'[4](5.1) UT Allocated Actual NPC'!$46:$46,0))</f>
        <v>47644799.832439214</v>
      </c>
      <c r="J10" s="39">
        <f>+INDEX('[4](5.1) UT Allocated Actual NPC'!$78:$78,1,MATCH(J$6,'[4](5.1) UT Allocated Actual NPC'!$46:$46,0))</f>
        <v>51538029.727268748</v>
      </c>
      <c r="K10" s="39">
        <f>+INDEX('[4](5.1) UT Allocated Actual NPC'!$78:$78,1,MATCH(K$6,'[4](5.1) UT Allocated Actual NPC'!$46:$46,0))</f>
        <v>56604959.848274179</v>
      </c>
      <c r="L10" s="39">
        <f>+INDEX('[4](5.1) UT Allocated Actual NPC'!$78:$78,1,MATCH(L$6,'[4](5.1) UT Allocated Actual NPC'!$46:$46,0))</f>
        <v>76095599.013290346</v>
      </c>
      <c r="M10" s="39">
        <f>+INDEX('[4](5.1) UT Allocated Actual NPC'!$78:$78,1,MATCH(M$6,'[4](5.1) UT Allocated Actual NPC'!$46:$46,0))</f>
        <v>68477796.505149767</v>
      </c>
      <c r="N10" s="39">
        <f>+INDEX('[4](5.1) UT Allocated Actual NPC'!$78:$78,1,MATCH(N$6,'[4](5.1) UT Allocated Actual NPC'!$46:$46,0))</f>
        <v>60820545.207127407</v>
      </c>
      <c r="O10" s="39">
        <f>+INDEX('[4](5.1) UT Allocated Actual NPC'!$78:$78,1,MATCH(O$6,'[4](5.1) UT Allocated Actual NPC'!$46:$46,0))</f>
        <v>0</v>
      </c>
      <c r="P10" s="39">
        <f>+INDEX('[4](5.1) UT Allocated Actual NPC'!$78:$78,1,MATCH(P$6,'[4](5.1) UT Allocated Actual NPC'!$46:$46,0))</f>
        <v>0</v>
      </c>
      <c r="Q10" s="39">
        <f>+INDEX('[4](5.1) UT Allocated Actual NPC'!$78:$78,1,MATCH(Q$6,'[4](5.1) UT Allocated Actual NPC'!$46:$46,0))</f>
        <v>0</v>
      </c>
      <c r="R10" s="18"/>
      <c r="S10" s="39">
        <f>+SUM(F10:Q10)</f>
        <v>522012458.7658239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Revenues'!$54:$54,1,MATCH(F$6,'[4](7.1) Wheeling Revenues'!$10:$10,0))</f>
        <v>-2631831.6499509481</v>
      </c>
      <c r="G11" s="39">
        <f>+INDEX('[4](7.1) Wheeling Revenues'!$54:$54,1,MATCH(G$6,'[4](7.1) Wheeling Revenues'!$10:$10,0))</f>
        <v>-2620482.5010365178</v>
      </c>
      <c r="H11" s="39">
        <f>+INDEX('[4](7.1) Wheeling Revenues'!$54:$54,1,MATCH(H$6,'[4](7.1) Wheeling Revenues'!$10:$10,0))</f>
        <v>-2378893.449179153</v>
      </c>
      <c r="I11" s="39">
        <f>+INDEX('[4](7.1) Wheeling Revenues'!$54:$54,1,MATCH(I$6,'[4](7.1) Wheeling Revenues'!$10:$10,0))</f>
        <v>-2777340.3790668081</v>
      </c>
      <c r="J11" s="39">
        <f>+INDEX('[4](7.1) Wheeling Revenues'!$54:$54,1,MATCH(J$6,'[4](7.1) Wheeling Revenues'!$10:$10,0))</f>
        <v>-3665684.0571883535</v>
      </c>
      <c r="K11" s="39">
        <f>+INDEX('[4](7.1) Wheeling Revenues'!$54:$54,1,MATCH(K$6,'[4](7.1) Wheeling Revenues'!$10:$10,0))</f>
        <v>-3454315.241065504</v>
      </c>
      <c r="L11" s="39">
        <f>+INDEX('[4](7.1) Wheeling Revenues'!$54:$54,1,MATCH(L$6,'[4](7.1) Wheeling Revenues'!$10:$10,0))</f>
        <v>-3706470.9299448757</v>
      </c>
      <c r="M11" s="39">
        <f>+INDEX('[4](7.1) Wheeling Revenues'!$54:$54,1,MATCH(M$6,'[4](7.1) Wheeling Revenues'!$10:$10,0))</f>
        <v>-3428572.1574649317</v>
      </c>
      <c r="N11" s="39">
        <f>+INDEX('[4](7.1) Wheeling Revenues'!$54:$54,1,MATCH(N$6,'[4](7.1) Wheeling Revenues'!$10:$10,0))</f>
        <v>-3376409.3534651273</v>
      </c>
      <c r="O11" s="39">
        <f>+INDEX('[4](7.1) Wheeling Revenues'!$54:$54,1,MATCH(O$6,'[4](7.1) Wheeling Revenues'!$10:$10,0))</f>
        <v>0</v>
      </c>
      <c r="P11" s="39">
        <f>+INDEX('[4](7.1) Wheeling Revenues'!$54:$54,1,MATCH(P$6,'[4](7.1) Wheeling Revenues'!$10:$10,0))</f>
        <v>0</v>
      </c>
      <c r="Q11" s="39">
        <f>+INDEX('[4](7.1) Wheeling Revenues'!$54:$54,1,MATCH(Q$6,'[4](7.1) Wheeling Revenues'!$10:$10,0))</f>
        <v>0</v>
      </c>
      <c r="R11" s="18"/>
      <c r="S11" s="39">
        <f>+SUM(F11:Q11)</f>
        <v>-28039999.718362223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55989843.265960477</v>
      </c>
      <c r="G12" s="58">
        <f>+SUM(G10:G11)</f>
        <v>47563754.414345957</v>
      </c>
      <c r="H12" s="58">
        <f>+SUM(H10:H11)</f>
        <v>49645923.351801179</v>
      </c>
      <c r="I12" s="58">
        <f t="shared" ref="I12:Q12" si="1">+SUM(I10:I11)</f>
        <v>44867459.453372404</v>
      </c>
      <c r="J12" s="58">
        <f t="shared" si="1"/>
        <v>47872345.670080394</v>
      </c>
      <c r="K12" s="58">
        <f t="shared" si="1"/>
        <v>53150644.607208677</v>
      </c>
      <c r="L12" s="58">
        <f t="shared" si="1"/>
        <v>72389128.083345473</v>
      </c>
      <c r="M12" s="58">
        <f t="shared" si="1"/>
        <v>65049224.347684838</v>
      </c>
      <c r="N12" s="58">
        <f t="shared" si="1"/>
        <v>57444135.853662282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493972459.04746175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+'[4](8.3) Utah Sales'!K15</f>
        <v>2336350.3054999998</v>
      </c>
      <c r="M14" s="39">
        <f>+'[4](8.3) Utah Sales'!L15</f>
        <v>2443953.0180000002</v>
      </c>
      <c r="N14" s="39">
        <f>+'[4](8.3) Utah Sales'!M15</f>
        <v>1975610.0169999998</v>
      </c>
      <c r="O14" s="39">
        <f>+'[4](8.3) Utah Sales'!N15</f>
        <v>0</v>
      </c>
      <c r="P14" s="39">
        <f>+'[4](8.3) Utah Sales'!O15</f>
        <v>0</v>
      </c>
      <c r="Q14" s="39">
        <f>+'[4](8.3) Utah Sales'!P15</f>
        <v>0</v>
      </c>
      <c r="R14" s="18"/>
      <c r="S14" s="39">
        <f>+SUM(F14:Q14)</f>
        <v>18488411.052999999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N16" si="2">+F12/F14</f>
        <v>25.760782109730179</v>
      </c>
      <c r="G16" s="49">
        <f t="shared" si="2"/>
        <v>25.632056610071022</v>
      </c>
      <c r="H16" s="49">
        <f t="shared" si="2"/>
        <v>26.794187792421919</v>
      </c>
      <c r="I16" s="49">
        <f t="shared" si="2"/>
        <v>25.101079414117098</v>
      </c>
      <c r="J16" s="49">
        <f t="shared" si="2"/>
        <v>24.987484018766075</v>
      </c>
      <c r="K16" s="49">
        <f t="shared" si="2"/>
        <v>24.753196497639994</v>
      </c>
      <c r="L16" s="49">
        <f t="shared" si="2"/>
        <v>30.983850286891613</v>
      </c>
      <c r="M16" s="49">
        <f t="shared" si="2"/>
        <v>26.616397233739637</v>
      </c>
      <c r="N16" s="49">
        <f t="shared" si="2"/>
        <v>29.076657518112942</v>
      </c>
      <c r="O16" s="49"/>
      <c r="P16" s="49"/>
      <c r="Q16" s="49"/>
      <c r="R16" s="18"/>
      <c r="S16" s="49">
        <f>+S12/S14</f>
        <v>26.717950917004732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NPC'!$62:$62,1,MATCH(F$6,'[4](6.1) Prorated Base NPC'!$30:$30,0))</f>
        <v>52808576.86786487</v>
      </c>
      <c r="G20" s="39">
        <f>+INDEX('[4](6.1) Prorated Base NPC'!$62:$62,1,MATCH(G$6,'[4](6.1) Prorated Base NPC'!$30:$30,0))</f>
        <v>47751766.215919696</v>
      </c>
      <c r="H20" s="39">
        <f>+INDEX('[4](6.1) Prorated Base NPC'!$62:$62,1,MATCH(H$6,'[4](6.1) Prorated Base NPC'!$30:$30,0))</f>
        <v>51717005.50693883</v>
      </c>
      <c r="I20" s="39">
        <f>+INDEX('[4](6.1) Prorated Base NPC'!$62:$62,1,MATCH(I$6,'[4](6.1) Prorated Base NPC'!$30:$30,0))</f>
        <v>49432306.181200609</v>
      </c>
      <c r="J20" s="39">
        <f>+INDEX('[4](6.1) Prorated Base NPC'!$62:$62,1,MATCH(J$6,'[4](6.1) Prorated Base NPC'!$30:$30,0))</f>
        <v>51962691.99899593</v>
      </c>
      <c r="K20" s="39">
        <f>+INDEX('[4](6.1) Prorated Base NPC'!$62:$62,1,MATCH(K$6,'[4](6.1) Prorated Base NPC'!$30:$30,0))</f>
        <v>53272422.259827644</v>
      </c>
      <c r="L20" s="39">
        <f>+INDEX('[4](6.1) Prorated Base NPC'!$62:$62,1,MATCH(L$6,'[4](6.1) Prorated Base NPC'!$30:$30,0))</f>
        <v>60959067.642701879</v>
      </c>
      <c r="M20" s="39">
        <f>+INDEX('[4](6.1) Prorated Base NPC'!$62:$62,1,MATCH(M$6,'[4](6.1) Prorated Base NPC'!$30:$30,0))</f>
        <v>62156253.654774278</v>
      </c>
      <c r="N20" s="39">
        <f>+INDEX('[4](6.1) Prorated Base NPC'!$62:$62,1,MATCH(N$6,'[4](6.1) Prorated Base NPC'!$30:$30,0))</f>
        <v>54982894.5326159</v>
      </c>
      <c r="O20" s="39"/>
      <c r="P20" s="39"/>
      <c r="Q20" s="39"/>
      <c r="R20" s="18"/>
      <c r="S20" s="39">
        <f>+SUM(F20:Q20)</f>
        <v>485042984.86083961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Revenues'!$68:$68,MATCH(F$6,'[4](7.1) Wheeling Revenues'!$10:$10,0))</f>
        <v>-2684824.28561325</v>
      </c>
      <c r="G21" s="39">
        <f>+INDEX('[4](7.1) Wheeling Revenues'!$68:$68,MATCH(G$6,'[4](7.1) Wheeling Revenues'!$10:$10,0))</f>
        <v>-2684824.28561325</v>
      </c>
      <c r="H21" s="39">
        <f>+INDEX('[4](7.1) Wheeling Revenues'!$68:$68,MATCH(H$6,'[4](7.1) Wheeling Revenues'!$10:$10,0))</f>
        <v>-2684824.28561325</v>
      </c>
      <c r="I21" s="39">
        <f>+INDEX('[4](7.1) Wheeling Revenues'!$68:$68,MATCH(I$6,'[4](7.1) Wheeling Revenues'!$10:$10,0))</f>
        <v>-2684824.28561325</v>
      </c>
      <c r="J21" s="39">
        <f>+INDEX('[4](7.1) Wheeling Revenues'!$68:$68,MATCH(J$6,'[4](7.1) Wheeling Revenues'!$10:$10,0))</f>
        <v>-2684824.28561325</v>
      </c>
      <c r="K21" s="39">
        <f>+INDEX('[4](7.1) Wheeling Revenues'!$68:$68,MATCH(K$6,'[4](7.1) Wheeling Revenues'!$10:$10,0))</f>
        <v>-2684824.28561325</v>
      </c>
      <c r="L21" s="39">
        <f>+INDEX('[4](7.1) Wheeling Revenues'!$68:$68,MATCH(L$6,'[4](7.1) Wheeling Revenues'!$10:$10,0))</f>
        <v>-2684824.28561325</v>
      </c>
      <c r="M21" s="39">
        <f>+INDEX('[4](7.1) Wheeling Revenues'!$68:$68,MATCH(M$6,'[4](7.1) Wheeling Revenues'!$10:$10,0))</f>
        <v>-2684824.28561325</v>
      </c>
      <c r="N21" s="39">
        <f>+INDEX('[4](7.1) Wheeling Revenues'!$68:$68,MATCH(N$6,'[4](7.1) Wheeling Revenues'!$10:$10,0))</f>
        <v>-2684824.28561325</v>
      </c>
      <c r="O21" s="39"/>
      <c r="P21" s="39"/>
      <c r="Q21" s="39"/>
      <c r="R21" s="18"/>
      <c r="S21" s="39">
        <f>+SUM(F21:Q21)</f>
        <v>-24163418.57051925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50123752.582251623</v>
      </c>
      <c r="G22" s="58">
        <f>+SUM(G20:G21)</f>
        <v>45066941.93030645</v>
      </c>
      <c r="H22" s="58">
        <f>+SUM(H20:H21)</f>
        <v>49032181.221325576</v>
      </c>
      <c r="I22" s="58">
        <f t="shared" ref="I22:Q22" si="3">+SUM(I20:I21)</f>
        <v>46747481.895587355</v>
      </c>
      <c r="J22" s="58">
        <f t="shared" si="3"/>
        <v>49277867.713382676</v>
      </c>
      <c r="K22" s="58">
        <f t="shared" si="3"/>
        <v>50587597.97421439</v>
      </c>
      <c r="L22" s="58">
        <f t="shared" si="3"/>
        <v>58274243.357088625</v>
      </c>
      <c r="M22" s="58">
        <f t="shared" si="3"/>
        <v>59471429.369161025</v>
      </c>
      <c r="N22" s="58">
        <f t="shared" si="3"/>
        <v>52298070.247002646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460879566.29032034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NPC'!$61:$61,1,MATCH(F$6,'[4](6.1) Prorated Base NPC'!$30:$30,0))</f>
        <v>1982626.99979</v>
      </c>
      <c r="G24" s="39">
        <f>+INDEX('[4](6.1) Prorated Base NPC'!$61:$61,1,MATCH(G$6,'[4](6.1) Prorated Base NPC'!$30:$30,0))</f>
        <v>1789929.9980000001</v>
      </c>
      <c r="H24" s="39">
        <f>+INDEX('[4](6.1) Prorated Base NPC'!$61:$61,1,MATCH(H$6,'[4](6.1) Prorated Base NPC'!$30:$30,0))</f>
        <v>1910070.0009899999</v>
      </c>
      <c r="I24" s="39">
        <f>+INDEX('[4](6.1) Prorated Base NPC'!$61:$61,1,MATCH(I$6,'[4](6.1) Prorated Base NPC'!$30:$30,0))</f>
        <v>1856810.0009900001</v>
      </c>
      <c r="J24" s="39">
        <f>+INDEX('[4](6.1) Prorated Base NPC'!$61:$61,1,MATCH(J$6,'[4](6.1) Prorated Base NPC'!$30:$30,0))</f>
        <v>1998460.00202</v>
      </c>
      <c r="K24" s="39">
        <f>+INDEX('[4](6.1) Prorated Base NPC'!$61:$61,1,MATCH(K$6,'[4](6.1) Prorated Base NPC'!$30:$30,0))</f>
        <v>1912132.46205</v>
      </c>
      <c r="L24" s="39">
        <f>+INDEX('[4](6.1) Prorated Base NPC'!$61:$61,1,MATCH(L$6,'[4](6.1) Prorated Base NPC'!$30:$30,0))</f>
        <v>2266364.4785400005</v>
      </c>
      <c r="M24" s="39">
        <f>+INDEX('[4](6.1) Prorated Base NPC'!$61:$61,1,MATCH(M$6,'[4](6.1) Prorated Base NPC'!$30:$30,0))</f>
        <v>2314401.9906899994</v>
      </c>
      <c r="N24" s="39">
        <f>+INDEX('[4](6.1) Prorated Base NPC'!$61:$61,1,MATCH(N$6,'[4](6.1) Prorated Base NPC'!$30:$30,0))</f>
        <v>1968925.9935399997</v>
      </c>
      <c r="O24" s="39"/>
      <c r="P24" s="39"/>
      <c r="Q24" s="39"/>
      <c r="R24" s="18"/>
      <c r="S24" s="39">
        <f>+SUM(F24:Q24)</f>
        <v>17999721.92661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25.281483903709944</v>
      </c>
      <c r="G26" s="49">
        <f>+G22/G24</f>
        <v>25.178047175399339</v>
      </c>
      <c r="H26" s="49">
        <f>+H22/H24</f>
        <v>25.670358256981118</v>
      </c>
      <c r="I26" s="49">
        <f t="shared" ref="I26:N26" si="4">+I22/I24</f>
        <v>25.17623336295199</v>
      </c>
      <c r="J26" s="49">
        <f t="shared" si="4"/>
        <v>24.657920430518338</v>
      </c>
      <c r="K26" s="49">
        <f t="shared" si="4"/>
        <v>26.456115869702536</v>
      </c>
      <c r="L26" s="49">
        <f t="shared" si="4"/>
        <v>25.712652977436836</v>
      </c>
      <c r="M26" s="49">
        <f t="shared" si="4"/>
        <v>25.696240155510164</v>
      </c>
      <c r="N26" s="49">
        <f t="shared" si="4"/>
        <v>26.561724726369299</v>
      </c>
      <c r="O26" s="49"/>
      <c r="P26" s="49"/>
      <c r="Q26" s="49"/>
      <c r="R26" s="18"/>
      <c r="S26" s="49">
        <f>+S22/S24</f>
        <v>25.604815906015535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 t="shared" ref="F30:N30" si="5">+F16-F26</f>
        <v>0.47929820602023554</v>
      </c>
      <c r="G30" s="60">
        <f t="shared" si="5"/>
        <v>0.45400943467168275</v>
      </c>
      <c r="H30" s="60">
        <f t="shared" si="5"/>
        <v>1.1238295354408017</v>
      </c>
      <c r="I30" s="60">
        <f t="shared" si="5"/>
        <v>-7.5153948834891793E-2</v>
      </c>
      <c r="J30" s="60">
        <f t="shared" si="5"/>
        <v>0.32956358824773702</v>
      </c>
      <c r="K30" s="60">
        <f t="shared" si="5"/>
        <v>-1.7029193720625422</v>
      </c>
      <c r="L30" s="60">
        <f t="shared" si="5"/>
        <v>5.2711973094547773</v>
      </c>
      <c r="M30" s="60">
        <f t="shared" si="5"/>
        <v>0.92015707822947235</v>
      </c>
      <c r="N30" s="60">
        <f t="shared" si="5"/>
        <v>2.514932791743643</v>
      </c>
      <c r="O30" s="60"/>
      <c r="P30" s="60"/>
      <c r="Q30" s="60"/>
      <c r="R30" s="18"/>
      <c r="S30" s="60">
        <f>+S16-S26</f>
        <v>1.1131350109891969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39">
        <f t="shared" ref="F32:N32" si="6">+F30*F14</f>
        <v>1041732.0141298342</v>
      </c>
      <c r="G32" s="39">
        <f t="shared" si="6"/>
        <v>842476.02839779027</v>
      </c>
      <c r="H32" s="39">
        <f t="shared" si="6"/>
        <v>2082300.6619653613</v>
      </c>
      <c r="I32" s="39">
        <f t="shared" si="6"/>
        <v>-134335.52782650071</v>
      </c>
      <c r="J32" s="39">
        <f t="shared" si="6"/>
        <v>631395.38198479277</v>
      </c>
      <c r="K32" s="39">
        <f t="shared" si="6"/>
        <v>-3656548.4521506797</v>
      </c>
      <c r="L32" s="39">
        <f t="shared" si="6"/>
        <v>12315363.444295445</v>
      </c>
      <c r="M32" s="39">
        <f t="shared" si="6"/>
        <v>2248820.6683729813</v>
      </c>
      <c r="N32" s="39">
        <f t="shared" si="6"/>
        <v>4968526.4154505152</v>
      </c>
      <c r="O32" s="39"/>
      <c r="P32" s="39"/>
      <c r="Q32" s="39"/>
      <c r="R32" s="18"/>
      <c r="S32" s="39">
        <f>+SUM(F32:Q32)</f>
        <v>20339730.634619541</v>
      </c>
      <c r="T32" s="33"/>
      <c r="U32" s="34"/>
    </row>
    <row r="33" spans="1:22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2" ht="23.2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729212.40989088395</v>
      </c>
      <c r="G34" s="39">
        <f>G32*0.7</f>
        <v>589733.21987845318</v>
      </c>
      <c r="H34" s="39">
        <f>H32*0.7</f>
        <v>1457610.4633757528</v>
      </c>
      <c r="I34" s="39">
        <f t="shared" ref="I34:N34" si="7">I32*0.7</f>
        <v>-94034.869478550492</v>
      </c>
      <c r="J34" s="39">
        <f t="shared" si="7"/>
        <v>441976.76738935494</v>
      </c>
      <c r="K34" s="39">
        <f t="shared" si="7"/>
        <v>-2559583.9165054755</v>
      </c>
      <c r="L34" s="39">
        <f t="shared" si="7"/>
        <v>8620754.411006812</v>
      </c>
      <c r="M34" s="39">
        <f t="shared" si="7"/>
        <v>1574174.4678610868</v>
      </c>
      <c r="N34" s="39">
        <f t="shared" si="7"/>
        <v>3477968.4908153606</v>
      </c>
      <c r="O34" s="39"/>
      <c r="P34" s="39"/>
      <c r="Q34" s="39"/>
      <c r="R34" s="18"/>
      <c r="S34" s="39">
        <f>+SUM(F34:Q34)</f>
        <v>14237811.444233678</v>
      </c>
      <c r="T34" s="33"/>
      <c r="U34" s="34"/>
    </row>
    <row r="35" spans="1:22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Revenues'!$53:$53,1,MATCH(F$6,'[4](7.1) Wheeling Revenues'!$10:$10,0))</f>
        <v>0</v>
      </c>
      <c r="G35" s="37">
        <f>+INDEX('[4](7.1) Wheeling Revenues'!$53:$53,1,MATCH(G$6,'[4](7.1) Wheeling Revenues'!$10:$10,0))</f>
        <v>0</v>
      </c>
      <c r="H35" s="37">
        <f>+INDEX('[4](7.1) Wheeling Revenues'!$53:$53,1,MATCH(H$6,'[4](7.1) Wheeling Revenues'!$10:$10,0))</f>
        <v>0</v>
      </c>
      <c r="I35" s="37">
        <f>+INDEX('[4](7.1) Wheeling Revenues'!$53:$53,1,MATCH(I$6,'[4](7.1) Wheeling Revenues'!$10:$10,0))</f>
        <v>0</v>
      </c>
      <c r="J35" s="37">
        <f>+INDEX('[4](7.1) Wheeling Revenues'!$53:$53,1,MATCH(J$6,'[4](7.1) Wheeling Revenues'!$10:$10,0))</f>
        <v>0</v>
      </c>
      <c r="K35" s="37">
        <f>+INDEX('[4](7.1) Wheeling Revenues'!$53:$53,1,MATCH(K$6,'[4](7.1) Wheeling Revenues'!$10:$10,0))</f>
        <v>0</v>
      </c>
      <c r="L35" s="37">
        <f>+INDEX('[4](7.1) Wheeling Revenues'!$53:$53,1,MATCH(L$6,'[4](7.1) Wheeling Revenues'!$10:$10,0))</f>
        <v>0</v>
      </c>
      <c r="M35" s="37">
        <f>+INDEX('[4](7.1) Wheeling Revenues'!$53:$53,1,MATCH(M$6,'[4](7.1) Wheeling Revenues'!$10:$10,0))</f>
        <v>0</v>
      </c>
      <c r="N35" s="37">
        <f>+INDEX('[4](7.1) Wheeling Revenues'!$53:$53,1,MATCH(N$6,'[4](7.1) Wheeling Revenues'!$10:$10,0))</f>
        <v>0</v>
      </c>
      <c r="O35" s="37"/>
      <c r="P35" s="37"/>
      <c r="Q35" s="37"/>
      <c r="R35" s="18"/>
      <c r="S35" s="41">
        <f>+SUM(F35:Q35)</f>
        <v>0</v>
      </c>
      <c r="T35" s="33"/>
      <c r="U35" s="34"/>
    </row>
    <row r="36" spans="1:22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729212.40989088395</v>
      </c>
      <c r="G36" s="61">
        <f>+SUM(G34:G35)</f>
        <v>589733.21987845318</v>
      </c>
      <c r="H36" s="61">
        <f>+SUM(H34:H35)</f>
        <v>1457610.4633757528</v>
      </c>
      <c r="I36" s="61">
        <f t="shared" ref="I36:Q36" si="8">+SUM(I34:I35)</f>
        <v>-94034.869478550492</v>
      </c>
      <c r="J36" s="61">
        <f t="shared" si="8"/>
        <v>441976.76738935494</v>
      </c>
      <c r="K36" s="61">
        <f t="shared" si="8"/>
        <v>-2559583.9165054755</v>
      </c>
      <c r="L36" s="61">
        <f t="shared" si="8"/>
        <v>8620754.411006812</v>
      </c>
      <c r="M36" s="61">
        <f t="shared" si="8"/>
        <v>1574174.4678610868</v>
      </c>
      <c r="N36" s="61">
        <f t="shared" si="8"/>
        <v>3477968.4908153606</v>
      </c>
      <c r="O36" s="61">
        <f t="shared" si="8"/>
        <v>0</v>
      </c>
      <c r="P36" s="61">
        <f t="shared" si="8"/>
        <v>0</v>
      </c>
      <c r="Q36" s="61">
        <f t="shared" si="8"/>
        <v>0</v>
      </c>
      <c r="R36" s="18"/>
      <c r="S36" s="37">
        <f>+SUM(F36:Q36)</f>
        <v>14237811.444233678</v>
      </c>
      <c r="T36" s="33"/>
      <c r="U36" s="34"/>
    </row>
    <row r="37" spans="1:22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2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2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2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:N40" si="9">+G40</f>
        <v>5.0000000000000001E-3</v>
      </c>
      <c r="I40" s="68">
        <f t="shared" si="9"/>
        <v>5.0000000000000001E-3</v>
      </c>
      <c r="J40" s="68">
        <f t="shared" si="9"/>
        <v>5.0000000000000001E-3</v>
      </c>
      <c r="K40" s="68">
        <f t="shared" si="9"/>
        <v>5.0000000000000001E-3</v>
      </c>
      <c r="L40" s="68">
        <f t="shared" si="9"/>
        <v>5.0000000000000001E-3</v>
      </c>
      <c r="M40" s="68">
        <f t="shared" si="9"/>
        <v>5.0000000000000001E-3</v>
      </c>
      <c r="N40" s="68">
        <f t="shared" si="9"/>
        <v>5.0000000000000001E-3</v>
      </c>
      <c r="O40" s="68"/>
      <c r="P40" s="68"/>
      <c r="Q40" s="68"/>
      <c r="R40" s="18"/>
      <c r="S40" s="68"/>
      <c r="T40" s="69"/>
      <c r="U40" s="34"/>
    </row>
    <row r="41" spans="1:22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 t="shared" ref="G41:N41" si="10">+F44</f>
        <v>731035.44091561111</v>
      </c>
      <c r="H41" s="70">
        <f t="shared" si="10"/>
        <v>1325898.1710483385</v>
      </c>
      <c r="I41" s="70">
        <f t="shared" si="10"/>
        <v>2793782.1514377724</v>
      </c>
      <c r="J41" s="70">
        <f t="shared" si="10"/>
        <v>2713481.1055427147</v>
      </c>
      <c r="K41" s="70">
        <f t="shared" si="10"/>
        <v>3170130.2203782564</v>
      </c>
      <c r="L41" s="70">
        <f t="shared" si="10"/>
        <v>619997.99518340849</v>
      </c>
      <c r="M41" s="70">
        <f t="shared" si="10"/>
        <v>9265404.2821936551</v>
      </c>
      <c r="N41" s="70">
        <f t="shared" si="10"/>
        <v>10889841.207635362</v>
      </c>
      <c r="O41" s="70"/>
      <c r="P41" s="70"/>
      <c r="Q41" s="70"/>
      <c r="R41" s="18"/>
      <c r="S41" s="70">
        <f>+F41</f>
        <v>0</v>
      </c>
      <c r="T41" s="71"/>
      <c r="U41" s="34"/>
    </row>
    <row r="42" spans="1:22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729212.40989088395</v>
      </c>
      <c r="G42" s="70">
        <f>+G36</f>
        <v>589733.21987845318</v>
      </c>
      <c r="H42" s="70">
        <f>+H36</f>
        <v>1457610.4633757528</v>
      </c>
      <c r="I42" s="70">
        <f t="shared" ref="I42:N42" si="11">+I36</f>
        <v>-94034.869478550492</v>
      </c>
      <c r="J42" s="70">
        <f t="shared" si="11"/>
        <v>441976.76738935494</v>
      </c>
      <c r="K42" s="70">
        <f t="shared" si="11"/>
        <v>-2559583.9165054755</v>
      </c>
      <c r="L42" s="70">
        <f t="shared" si="11"/>
        <v>8620754.411006812</v>
      </c>
      <c r="M42" s="70">
        <f t="shared" si="11"/>
        <v>1574174.4678610868</v>
      </c>
      <c r="N42" s="70">
        <f t="shared" si="11"/>
        <v>3477968.4908153606</v>
      </c>
      <c r="O42" s="70"/>
      <c r="P42" s="70"/>
      <c r="Q42" s="70"/>
      <c r="R42" s="18"/>
      <c r="S42" s="70">
        <f>+SUM(F42:Q42)</f>
        <v>14237811.444233678</v>
      </c>
      <c r="T42" s="71"/>
      <c r="U42" s="34"/>
    </row>
    <row r="43" spans="1:22" s="80" customFormat="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12">+(F41+0.5*SUM(F42:F42))*F40</f>
        <v>1823.03102472721</v>
      </c>
      <c r="G43" s="73">
        <f t="shared" si="12"/>
        <v>5129.5102542741888</v>
      </c>
      <c r="H43" s="73">
        <f t="shared" si="12"/>
        <v>10273.517013681076</v>
      </c>
      <c r="I43" s="73">
        <f t="shared" ref="I43:K43" si="13">+(I41+0.5*SUM(I42:I42))*I40</f>
        <v>13733.823583492485</v>
      </c>
      <c r="J43" s="73">
        <f t="shared" si="13"/>
        <v>14672.347446186963</v>
      </c>
      <c r="K43" s="73">
        <f t="shared" si="13"/>
        <v>9451.6913106275933</v>
      </c>
      <c r="L43" s="73">
        <f t="shared" ref="L43:N43" si="14">+(L41+0.5*SUM(L42:L42))*L40</f>
        <v>24651.87600343407</v>
      </c>
      <c r="M43" s="73">
        <f t="shared" si="14"/>
        <v>50262.45758062099</v>
      </c>
      <c r="N43" s="73">
        <f t="shared" si="14"/>
        <v>63144.127265215211</v>
      </c>
      <c r="O43" s="73"/>
      <c r="P43" s="73"/>
      <c r="Q43" s="73"/>
      <c r="R43" s="18"/>
      <c r="S43" s="39">
        <f>+SUM(F43:Q43)</f>
        <v>193142.38148225978</v>
      </c>
      <c r="T43" s="71"/>
      <c r="U43" s="34"/>
      <c r="V43" s="34"/>
    </row>
    <row r="44" spans="1:22" s="80" customFormat="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Q44" si="15">+SUM(F41:F43)</f>
        <v>731035.44091561111</v>
      </c>
      <c r="G44" s="61">
        <f t="shared" si="15"/>
        <v>1325898.1710483385</v>
      </c>
      <c r="H44" s="61">
        <f t="shared" si="15"/>
        <v>2793782.1514377724</v>
      </c>
      <c r="I44" s="61">
        <f t="shared" ref="I44:K44" si="16">+SUM(I41:I43)</f>
        <v>2713481.1055427147</v>
      </c>
      <c r="J44" s="61">
        <f t="shared" si="16"/>
        <v>3170130.2203782564</v>
      </c>
      <c r="K44" s="61">
        <f t="shared" si="16"/>
        <v>619997.99518340849</v>
      </c>
      <c r="L44" s="61">
        <f t="shared" si="15"/>
        <v>9265404.2821936551</v>
      </c>
      <c r="M44" s="61">
        <f t="shared" si="15"/>
        <v>10889841.207635362</v>
      </c>
      <c r="N44" s="61">
        <f t="shared" si="15"/>
        <v>14430953.825715937</v>
      </c>
      <c r="O44" s="61">
        <f t="shared" si="15"/>
        <v>0</v>
      </c>
      <c r="P44" s="61">
        <f t="shared" si="15"/>
        <v>0</v>
      </c>
      <c r="Q44" s="61">
        <f t="shared" si="15"/>
        <v>0</v>
      </c>
      <c r="R44" s="18"/>
      <c r="S44" s="61">
        <f>+SUM(S41:S43)</f>
        <v>14430953.825715939</v>
      </c>
      <c r="T44" s="71"/>
      <c r="U44" s="34"/>
      <c r="V44" s="34"/>
    </row>
    <row r="45" spans="1:22" s="80" customFormat="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  <c r="V45" s="34"/>
    </row>
    <row r="46" spans="1:22" s="80" customFormat="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  <c r="V46" s="34"/>
    </row>
    <row r="47" spans="1:22" s="80" customFormat="1" ht="15.75" customHeight="1">
      <c r="A47" s="18" t="s">
        <v>75</v>
      </c>
      <c r="B47" s="79"/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  <c r="V47" s="34"/>
    </row>
    <row r="48" spans="1:22" s="80" customFormat="1" ht="15.75" customHeight="1">
      <c r="A48" s="18">
        <v>1</v>
      </c>
      <c r="B48" s="18" t="s">
        <v>69</v>
      </c>
      <c r="C48" s="17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  <c r="V48" s="34"/>
    </row>
    <row r="49" spans="1:22" s="80" customFormat="1" ht="15.75" customHeight="1">
      <c r="A49" s="18">
        <v>2</v>
      </c>
      <c r="B49" s="17" t="s">
        <v>70</v>
      </c>
      <c r="C49" s="54"/>
      <c r="D49" s="42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  <c r="V49" s="34"/>
    </row>
    <row r="50" spans="1:22" s="80" customFormat="1" ht="15.75" customHeight="1">
      <c r="A50" s="78"/>
      <c r="B50" s="79"/>
      <c r="C50" s="35"/>
      <c r="D50" s="42"/>
      <c r="E50" s="3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  <c r="V50" s="34"/>
    </row>
    <row r="51" spans="1:22" s="80" customFormat="1" ht="15.75" customHeight="1">
      <c r="A51" s="78"/>
      <c r="B51" s="79"/>
      <c r="C51" s="35"/>
      <c r="D51" s="4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8"/>
      <c r="S51" s="77"/>
      <c r="T51" s="77"/>
      <c r="U51" s="34"/>
      <c r="V51" s="34"/>
    </row>
    <row r="52" spans="1:22" s="80" customFormat="1" ht="15.75" customHeight="1">
      <c r="A52" s="78"/>
      <c r="B52" s="79"/>
      <c r="C52" s="35"/>
      <c r="D52" s="42"/>
      <c r="E52" s="35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  <c r="V52" s="34"/>
    </row>
    <row r="53" spans="1:22" s="80" customFormat="1" ht="15.75" customHeight="1">
      <c r="A53" s="78"/>
      <c r="B53" s="79"/>
      <c r="C53" s="35"/>
      <c r="D53" s="4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8"/>
      <c r="S53" s="77"/>
      <c r="T53" s="77"/>
      <c r="U53" s="34"/>
      <c r="V53" s="34"/>
    </row>
    <row r="54" spans="1:22" s="80" customFormat="1" ht="15.75" customHeight="1">
      <c r="A54" s="78"/>
      <c r="B54" s="79"/>
      <c r="C54" s="35"/>
      <c r="D54" s="42"/>
      <c r="E54" s="35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  <c r="V54" s="34"/>
    </row>
    <row r="55" spans="1:22" s="80" customFormat="1" ht="15.75" customHeight="1">
      <c r="A55" s="78"/>
      <c r="B55" s="79"/>
      <c r="C55" s="35"/>
      <c r="D55" s="42"/>
      <c r="E55" s="3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  <c r="V55" s="34"/>
    </row>
    <row r="56" spans="1:22" s="80" customFormat="1" ht="15.75" customHeight="1">
      <c r="A56" s="78"/>
      <c r="B56" s="79"/>
      <c r="C56" s="35"/>
      <c r="D56" s="4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8"/>
      <c r="S56" s="77"/>
      <c r="T56" s="77"/>
      <c r="U56" s="34"/>
      <c r="V56" s="34"/>
    </row>
    <row r="57" spans="1:22" s="80" customFormat="1" ht="15.75" customHeight="1">
      <c r="A57" s="78"/>
      <c r="B57" s="79"/>
      <c r="C57" s="35"/>
      <c r="D57" s="42"/>
      <c r="E57" s="35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  <c r="V57" s="34"/>
    </row>
    <row r="58" spans="1:22" s="80" customFormat="1" ht="15.75" customHeight="1">
      <c r="A58" s="78"/>
      <c r="B58" s="79"/>
      <c r="C58" s="35"/>
      <c r="D58" s="4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18"/>
      <c r="S58" s="77"/>
      <c r="T58" s="77"/>
      <c r="U58" s="34"/>
      <c r="V58" s="34"/>
    </row>
    <row r="59" spans="1:22" ht="15.75" customHeight="1">
      <c r="R59" s="18"/>
      <c r="U59" s="34"/>
    </row>
    <row r="60" spans="1:22" ht="15.75" customHeight="1">
      <c r="R60" s="18"/>
      <c r="U60" s="34"/>
    </row>
    <row r="61" spans="1:22" ht="15.75" customHeight="1">
      <c r="R61" s="18"/>
      <c r="U61" s="34"/>
    </row>
    <row r="62" spans="1:22" ht="15.75" customHeight="1">
      <c r="R62" s="18"/>
      <c r="U62" s="34"/>
    </row>
    <row r="63" spans="1:22" ht="15.75" customHeight="1">
      <c r="R63" s="18"/>
      <c r="U63" s="34"/>
    </row>
    <row r="64" spans="1:22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3 - Docket 11-035-200 Stipulation Exhibit A2 Method (Simplified Annual Allocation)&amp;R&amp;"arial"&amp;11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6"/>
  <sheetViews>
    <sheetView showGridLines="0" topLeftCell="A22" zoomScale="80" zoomScaleNormal="80" zoomScaleSheetLayoutView="70" workbookViewId="0">
      <selection activeCell="C14" sqref="C14"/>
    </sheetView>
  </sheetViews>
  <sheetFormatPr defaultColWidth="9.140625" defaultRowHeight="15.75" customHeight="1"/>
  <cols>
    <col min="1" max="1" width="5.5703125" style="78" customWidth="1"/>
    <col min="2" max="2" width="37" style="79" customWidth="1"/>
    <col min="3" max="3" width="2.28515625" style="35" customWidth="1"/>
    <col min="4" max="4" width="25.140625" style="42" customWidth="1"/>
    <col min="5" max="5" width="2.28515625" style="35" customWidth="1"/>
    <col min="6" max="11" width="11.42578125" style="35" customWidth="1"/>
    <col min="12" max="13" width="13.42578125" style="35" bestFit="1" customWidth="1"/>
    <col min="14" max="14" width="14.140625" style="35" bestFit="1" customWidth="1"/>
    <col min="15" max="17" width="11.42578125" style="35" customWidth="1"/>
    <col min="18" max="18" width="2.28515625" style="35" customWidth="1"/>
    <col min="19" max="19" width="14.1406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2013 - December 31, 2013</v>
      </c>
      <c r="B2" s="17"/>
      <c r="D2" s="19"/>
      <c r="U2" s="21"/>
    </row>
    <row r="3" spans="1:21" s="18" customFormat="1" ht="15.75" customHeight="1">
      <c r="A3" s="16" t="str">
        <f>+'Workpaper Index'!B14&amp;" - "&amp;'Workpaper Index'!C14</f>
        <v>Exhibit 4 - Docket 11-035-200 Stipulation Exhibit A3 Method (Monthly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41275</v>
      </c>
      <c r="G6" s="28">
        <f>EDATE(F6,1)</f>
        <v>41306</v>
      </c>
      <c r="H6" s="28">
        <f t="shared" ref="H6:Q6" si="0">EDATE(G6,1)</f>
        <v>41334</v>
      </c>
      <c r="I6" s="28">
        <f t="shared" si="0"/>
        <v>41365</v>
      </c>
      <c r="J6" s="28">
        <f t="shared" si="0"/>
        <v>41395</v>
      </c>
      <c r="K6" s="28">
        <f t="shared" si="0"/>
        <v>41426</v>
      </c>
      <c r="L6" s="28">
        <f t="shared" si="0"/>
        <v>41456</v>
      </c>
      <c r="M6" s="28">
        <f t="shared" si="0"/>
        <v>41487</v>
      </c>
      <c r="N6" s="28">
        <f t="shared" si="0"/>
        <v>41518</v>
      </c>
      <c r="O6" s="28">
        <f t="shared" si="0"/>
        <v>41548</v>
      </c>
      <c r="P6" s="28">
        <f t="shared" si="0"/>
        <v>41579</v>
      </c>
      <c r="Q6" s="28">
        <f t="shared" si="0"/>
        <v>41609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NPC'!$118:$118,1,MATCH(F$6,'[4](5.1) UT Allocated Actual NPC'!$86:$86,0))</f>
        <v>56091209.33103697</v>
      </c>
      <c r="G10" s="39">
        <f>+INDEX('[4](5.1) UT Allocated Actual NPC'!$118:$118,1,MATCH(G$6,'[4](5.1) UT Allocated Actual NPC'!$86:$86,0))</f>
        <v>48058184.570612334</v>
      </c>
      <c r="H10" s="39">
        <f>+INDEX('[4](5.1) UT Allocated Actual NPC'!$118:$118,1,MATCH(H$6,'[4](5.1) UT Allocated Actual NPC'!$86:$86,0))</f>
        <v>49649142.531038322</v>
      </c>
      <c r="I10" s="39">
        <f>+INDEX('[4](5.1) UT Allocated Actual NPC'!$118:$118,1,MATCH(I$6,'[4](5.1) UT Allocated Actual NPC'!$86:$86,0))</f>
        <v>45860916.671033077</v>
      </c>
      <c r="J10" s="39">
        <f>+INDEX('[4](5.1) UT Allocated Actual NPC'!$118:$118,1,MATCH(J$6,'[4](5.1) UT Allocated Actual NPC'!$86:$86,0))</f>
        <v>51673689.378494486</v>
      </c>
      <c r="K10" s="39">
        <f>+INDEX('[4](5.1) UT Allocated Actual NPC'!$118:$118,1,MATCH(K$6,'[4](5.1) UT Allocated Actual NPC'!$86:$86,0))</f>
        <v>59049751.291388258</v>
      </c>
      <c r="L10" s="39">
        <f>+INDEX('[4](5.1) UT Allocated Actual NPC'!$118:$118,1,MATCH(L$6,'[4](5.1) UT Allocated Actual NPC'!$86:$86,0))</f>
        <v>80665618.799806267</v>
      </c>
      <c r="M10" s="39">
        <f>+INDEX('[4](5.1) UT Allocated Actual NPC'!$118:$118,1,MATCH(M$6,'[4](5.1) UT Allocated Actual NPC'!$86:$86,0))</f>
        <v>73487147.226693124</v>
      </c>
      <c r="N10" s="39">
        <f>+INDEX('[4](5.1) UT Allocated Actual NPC'!$118:$118,1,MATCH(N$6,'[4](5.1) UT Allocated Actual NPC'!$86:$86,0))</f>
        <v>63655299.321174532</v>
      </c>
      <c r="O10" s="39">
        <f>+INDEX('[4](5.1) UT Allocated Actual NPC'!$118:$118,1,MATCH(O$6,'[4](5.1) UT Allocated Actual NPC'!$86:$86,0))</f>
        <v>0</v>
      </c>
      <c r="P10" s="39">
        <f>+INDEX('[4](5.1) UT Allocated Actual NPC'!$118:$118,1,MATCH(P$6,'[4](5.1) UT Allocated Actual NPC'!$86:$86,0))</f>
        <v>0</v>
      </c>
      <c r="Q10" s="39">
        <f>+INDEX('[4](5.1) UT Allocated Actual NPC'!$118:$118,1,MATCH(Q$6,'[4](5.1) UT Allocated Actual NPC'!$86:$86,0))</f>
        <v>0</v>
      </c>
      <c r="R10" s="18"/>
      <c r="S10" s="39">
        <f>+SUM(F10:Q10)</f>
        <v>528190959.12127733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Revenues'!$54:$54,1,MATCH(F$6,'[4](7.1) Wheeling Revenues'!$10:$10,0))</f>
        <v>-2631831.6499509481</v>
      </c>
      <c r="G11" s="39">
        <f>+INDEX('[4](7.1) Wheeling Revenues'!$54:$54,1,MATCH(G$6,'[4](7.1) Wheeling Revenues'!$10:$10,0))</f>
        <v>-2620482.5010365178</v>
      </c>
      <c r="H11" s="39">
        <f>+INDEX('[4](7.1) Wheeling Revenues'!$54:$54,1,MATCH(H$6,'[4](7.1) Wheeling Revenues'!$10:$10,0))</f>
        <v>-2378893.449179153</v>
      </c>
      <c r="I11" s="39">
        <f>+INDEX('[4](7.1) Wheeling Revenues'!$54:$54,1,MATCH(I$6,'[4](7.1) Wheeling Revenues'!$10:$10,0))</f>
        <v>-2777340.3790668081</v>
      </c>
      <c r="J11" s="39">
        <f>+INDEX('[4](7.1) Wheeling Revenues'!$54:$54,1,MATCH(J$6,'[4](7.1) Wheeling Revenues'!$10:$10,0))</f>
        <v>-3665684.0571883535</v>
      </c>
      <c r="K11" s="39">
        <f>+INDEX('[4](7.1) Wheeling Revenues'!$54:$54,1,MATCH(K$6,'[4](7.1) Wheeling Revenues'!$10:$10,0))</f>
        <v>-3454315.241065504</v>
      </c>
      <c r="L11" s="39">
        <f>+INDEX('[4](7.1) Wheeling Revenues'!$54:$54,1,MATCH(L$6,'[4](7.1) Wheeling Revenues'!$10:$10,0))</f>
        <v>-3706470.9299448757</v>
      </c>
      <c r="M11" s="39">
        <f>+INDEX('[4](7.1) Wheeling Revenues'!$54:$54,1,MATCH(M$6,'[4](7.1) Wheeling Revenues'!$10:$10,0))</f>
        <v>-3428572.1574649317</v>
      </c>
      <c r="N11" s="39">
        <f>+INDEX('[4](7.1) Wheeling Revenues'!$54:$54,1,MATCH(N$6,'[4](7.1) Wheeling Revenues'!$10:$10,0))</f>
        <v>-3376409.3534651273</v>
      </c>
      <c r="O11" s="39">
        <f>+INDEX('[4](7.1) Wheeling Revenues'!$54:$54,1,MATCH(O$6,'[4](7.1) Wheeling Revenues'!$10:$10,0))</f>
        <v>0</v>
      </c>
      <c r="P11" s="39">
        <f>+INDEX('[4](7.1) Wheeling Revenues'!$54:$54,1,MATCH(P$6,'[4](7.1) Wheeling Revenues'!$10:$10,0))</f>
        <v>0</v>
      </c>
      <c r="Q11" s="39">
        <f>+INDEX('[4](7.1) Wheeling Revenues'!$54:$54,1,MATCH(Q$6,'[4](7.1) Wheeling Revenues'!$10:$10,0))</f>
        <v>0</v>
      </c>
      <c r="R11" s="18"/>
      <c r="S11" s="39">
        <f>+SUM(F11:Q11)</f>
        <v>-28039999.718362223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53459377.681086019</v>
      </c>
      <c r="G12" s="58">
        <f>+SUM(G10:G11)</f>
        <v>45437702.069575816</v>
      </c>
      <c r="H12" s="58">
        <f>+SUM(H10:H11)</f>
        <v>47270249.081859171</v>
      </c>
      <c r="I12" s="58">
        <f t="shared" ref="I12:Q12" si="1">+SUM(I10:I11)</f>
        <v>43083576.291966267</v>
      </c>
      <c r="J12" s="58">
        <f t="shared" si="1"/>
        <v>48008005.321306132</v>
      </c>
      <c r="K12" s="58">
        <f t="shared" si="1"/>
        <v>55595436.050322756</v>
      </c>
      <c r="L12" s="58">
        <f t="shared" si="1"/>
        <v>76959147.869861394</v>
      </c>
      <c r="M12" s="58">
        <f t="shared" si="1"/>
        <v>70058575.069228187</v>
      </c>
      <c r="N12" s="58">
        <f t="shared" si="1"/>
        <v>60278889.967709407</v>
      </c>
      <c r="O12" s="58">
        <f t="shared" si="1"/>
        <v>0</v>
      </c>
      <c r="P12" s="58">
        <f t="shared" si="1"/>
        <v>0</v>
      </c>
      <c r="Q12" s="58">
        <f t="shared" si="1"/>
        <v>0</v>
      </c>
      <c r="R12" s="18"/>
      <c r="S12" s="58">
        <f>+SUM(F12:Q12)</f>
        <v>500150959.40291512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2173452.7712499998</v>
      </c>
      <c r="G14" s="39">
        <f>+INDEX('[4](8.3) Utah Sales'!15:15,MATCH(G6,'[4](8.3) Utah Sales'!9:9,0))</f>
        <v>1855635.5090000001</v>
      </c>
      <c r="H14" s="39">
        <f>+INDEX('[4](8.3) Utah Sales'!15:15,MATCH(H6,'[4](8.3) Utah Sales'!9:9,0))</f>
        <v>1852861.6630000002</v>
      </c>
      <c r="I14" s="39">
        <f>+INDEX('[4](8.3) Utah Sales'!15:15,MATCH(I6,'[4](8.3) Utah Sales'!9:9,0))</f>
        <v>1787471.3160000001</v>
      </c>
      <c r="J14" s="39">
        <f>+INDEX('[4](8.3) Utah Sales'!15:15,MATCH(J6,'[4](8.3) Utah Sales'!9:9,0))</f>
        <v>1915852.9779999999</v>
      </c>
      <c r="K14" s="39">
        <f>+INDEX('[4](8.3) Utah Sales'!15:15,MATCH(K6,'[4](8.3) Utah Sales'!9:9,0))</f>
        <v>2147223.4752500001</v>
      </c>
      <c r="L14" s="39">
        <f>+INDEX('[4](8.3) Utah Sales'!15:15,MATCH(L6,'[4](8.3) Utah Sales'!9:9,0))</f>
        <v>2336350.3054999998</v>
      </c>
      <c r="M14" s="39">
        <f>+INDEX('[4](8.3) Utah Sales'!15:15,MATCH(M6,'[4](8.3) Utah Sales'!9:9,0))</f>
        <v>2443953.0180000002</v>
      </c>
      <c r="N14" s="39">
        <f>+INDEX('[4](8.3) Utah Sales'!15:15,MATCH(N6,'[4](8.3) Utah Sales'!9:9,0))</f>
        <v>1975610.0169999998</v>
      </c>
      <c r="O14" s="39">
        <f>+INDEX('[4](8.3) Utah Sales'!15:15,MATCH(O6,'[4](8.3) Utah Sales'!9:9,0))</f>
        <v>0</v>
      </c>
      <c r="P14" s="39">
        <f>+INDEX('[4](8.3) Utah Sales'!15:15,MATCH(P6,'[4](8.3) Utah Sales'!9:9,0))</f>
        <v>0</v>
      </c>
      <c r="Q14" s="39">
        <f>+INDEX('[4](8.3) Utah Sales'!15:15,MATCH(Q6,'[4](8.3) Utah Sales'!9:9,0))</f>
        <v>0</v>
      </c>
      <c r="R14" s="18"/>
      <c r="S14" s="39">
        <f>+SUM(F14:Q14)</f>
        <v>18488411.052999999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N16" si="2">+F12/F14</f>
        <v>24.59652143733511</v>
      </c>
      <c r="G16" s="49">
        <f t="shared" si="2"/>
        <v>24.486329265202595</v>
      </c>
      <c r="H16" s="49">
        <f t="shared" si="2"/>
        <v>25.512022848658383</v>
      </c>
      <c r="I16" s="49">
        <f t="shared" si="2"/>
        <v>24.103086805543047</v>
      </c>
      <c r="J16" s="49">
        <f t="shared" si="2"/>
        <v>25.058293028008194</v>
      </c>
      <c r="K16" s="49">
        <f t="shared" si="2"/>
        <v>25.89177917023742</v>
      </c>
      <c r="L16" s="49">
        <f t="shared" si="2"/>
        <v>32.93990104510096</v>
      </c>
      <c r="M16" s="49">
        <f t="shared" si="2"/>
        <v>28.666089140518896</v>
      </c>
      <c r="N16" s="49">
        <f t="shared" si="2"/>
        <v>30.511532867829864</v>
      </c>
      <c r="O16" s="49"/>
      <c r="P16" s="49"/>
      <c r="Q16" s="49"/>
      <c r="R16" s="18"/>
      <c r="S16" s="49">
        <f>+S12/S14</f>
        <v>27.052133250886303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NPC'!$82:$82,1,MATCH(F$6,'[4](6.1) Prorated Base NPC'!$30:$30,0))</f>
        <v>49303185.701585226</v>
      </c>
      <c r="G20" s="39">
        <f>+INDEX('[4](6.1) Prorated Base NPC'!$82:$82,1,MATCH(G$6,'[4](6.1) Prorated Base NPC'!$30:$30,0))</f>
        <v>45475669.649817154</v>
      </c>
      <c r="H20" s="39">
        <f>+INDEX('[4](6.1) Prorated Base NPC'!$82:$82,1,MATCH(H$6,'[4](6.1) Prorated Base NPC'!$30:$30,0))</f>
        <v>49321841.767926015</v>
      </c>
      <c r="I20" s="39">
        <f>+INDEX('[4](6.1) Prorated Base NPC'!$82:$82,1,MATCH(I$6,'[4](6.1) Prorated Base NPC'!$30:$30,0))</f>
        <v>48151326.485147625</v>
      </c>
      <c r="J20" s="39">
        <f>+INDEX('[4](6.1) Prorated Base NPC'!$82:$82,1,MATCH(J$6,'[4](6.1) Prorated Base NPC'!$30:$30,0))</f>
        <v>54404743.894118764</v>
      </c>
      <c r="K20" s="39">
        <f>+INDEX('[4](6.1) Prorated Base NPC'!$82:$82,1,MATCH(K$6,'[4](6.1) Prorated Base NPC'!$30:$30,0))</f>
        <v>54344975.267398842</v>
      </c>
      <c r="L20" s="39">
        <f>+INDEX('[4](6.1) Prorated Base NPC'!$82:$82,1,MATCH(L$6,'[4](6.1) Prorated Base NPC'!$30:$30,0))</f>
        <v>63720157.892045878</v>
      </c>
      <c r="M20" s="39">
        <f>+INDEX('[4](6.1) Prorated Base NPC'!$82:$82,1,MATCH(M$6,'[4](6.1) Prorated Base NPC'!$30:$30,0))</f>
        <v>66891132.250358388</v>
      </c>
      <c r="N20" s="39">
        <f>+INDEX('[4](6.1) Prorated Base NPC'!$82:$82,1,MATCH(N$6,'[4](6.1) Prorated Base NPC'!$30:$30,0))</f>
        <v>57505636.985292926</v>
      </c>
      <c r="O20" s="39"/>
      <c r="P20" s="39"/>
      <c r="Q20" s="39"/>
      <c r="R20" s="18"/>
      <c r="S20" s="39">
        <f>+SUM(F20:Q20)</f>
        <v>489118669.89369076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Revenues'!$68:$68,MATCH(F$6,'[4](7.1) Wheeling Revenues'!$10:$10,0))</f>
        <v>-2684824.28561325</v>
      </c>
      <c r="G21" s="39">
        <f>+INDEX('[4](7.1) Wheeling Revenues'!$68:$68,MATCH(G$6,'[4](7.1) Wheeling Revenues'!$10:$10,0))</f>
        <v>-2684824.28561325</v>
      </c>
      <c r="H21" s="39">
        <f>+INDEX('[4](7.1) Wheeling Revenues'!$68:$68,MATCH(H$6,'[4](7.1) Wheeling Revenues'!$10:$10,0))</f>
        <v>-2684824.28561325</v>
      </c>
      <c r="I21" s="39">
        <f>+INDEX('[4](7.1) Wheeling Revenues'!$68:$68,MATCH(I$6,'[4](7.1) Wheeling Revenues'!$10:$10,0))</f>
        <v>-2684824.28561325</v>
      </c>
      <c r="J21" s="39">
        <f>+INDEX('[4](7.1) Wheeling Revenues'!$68:$68,MATCH(J$6,'[4](7.1) Wheeling Revenues'!$10:$10,0))</f>
        <v>-2684824.28561325</v>
      </c>
      <c r="K21" s="39">
        <f>+INDEX('[4](7.1) Wheeling Revenues'!$68:$68,MATCH(K$6,'[4](7.1) Wheeling Revenues'!$10:$10,0))</f>
        <v>-2684824.28561325</v>
      </c>
      <c r="L21" s="39">
        <f>+INDEX('[4](7.1) Wheeling Revenues'!$68:$68,MATCH(L$6,'[4](7.1) Wheeling Revenues'!$10:$10,0))</f>
        <v>-2684824.28561325</v>
      </c>
      <c r="M21" s="39">
        <f>+INDEX('[4](7.1) Wheeling Revenues'!$68:$68,MATCH(M$6,'[4](7.1) Wheeling Revenues'!$10:$10,0))</f>
        <v>-2684824.28561325</v>
      </c>
      <c r="N21" s="39">
        <f>+INDEX('[4](7.1) Wheeling Revenues'!$68:$68,MATCH(N$6,'[4](7.1) Wheeling Revenues'!$10:$10,0))</f>
        <v>-2684824.28561325</v>
      </c>
      <c r="O21" s="39"/>
      <c r="P21" s="39"/>
      <c r="Q21" s="39"/>
      <c r="R21" s="18"/>
      <c r="S21" s="39">
        <f>+SUM(F21:Q21)</f>
        <v>-24163418.57051925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46618361.415971979</v>
      </c>
      <c r="G22" s="58">
        <f>+SUM(G20:G21)</f>
        <v>42790845.3642039</v>
      </c>
      <c r="H22" s="58">
        <f>+SUM(H20:H21)</f>
        <v>46637017.482312769</v>
      </c>
      <c r="I22" s="58">
        <f t="shared" ref="I22:Q22" si="3">+SUM(I20:I21)</f>
        <v>45466502.199534371</v>
      </c>
      <c r="J22" s="58">
        <f t="shared" si="3"/>
        <v>51719919.608505517</v>
      </c>
      <c r="K22" s="58">
        <f t="shared" si="3"/>
        <v>51660150.981785595</v>
      </c>
      <c r="L22" s="58">
        <f t="shared" si="3"/>
        <v>61035333.606432632</v>
      </c>
      <c r="M22" s="58">
        <f t="shared" si="3"/>
        <v>64206307.964745134</v>
      </c>
      <c r="N22" s="58">
        <f t="shared" si="3"/>
        <v>54820812.699679673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18"/>
      <c r="S22" s="58">
        <f>+SUM(F22:Q22)</f>
        <v>464955251.32317156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NPC'!$81:$81,1,MATCH(F$6,'[4](6.1) Prorated Base NPC'!$30:$30,0))</f>
        <v>1982626.99979</v>
      </c>
      <c r="G24" s="39">
        <f>+INDEX('[4](6.1) Prorated Base NPC'!$81:$81,1,MATCH(G$6,'[4](6.1) Prorated Base NPC'!$30:$30,0))</f>
        <v>1789929.9980000001</v>
      </c>
      <c r="H24" s="39">
        <f>+INDEX('[4](6.1) Prorated Base NPC'!$81:$81,1,MATCH(H$6,'[4](6.1) Prorated Base NPC'!$30:$30,0))</f>
        <v>1910070.0009899999</v>
      </c>
      <c r="I24" s="39">
        <f>+INDEX('[4](6.1) Prorated Base NPC'!$81:$81,1,MATCH(I$6,'[4](6.1) Prorated Base NPC'!$30:$30,0))</f>
        <v>1856810.0009900001</v>
      </c>
      <c r="J24" s="39">
        <f>+INDEX('[4](6.1) Prorated Base NPC'!$81:$81,1,MATCH(J$6,'[4](6.1) Prorated Base NPC'!$30:$30,0))</f>
        <v>1998460.00202</v>
      </c>
      <c r="K24" s="39">
        <f>+INDEX('[4](6.1) Prorated Base NPC'!$81:$81,1,MATCH(K$6,'[4](6.1) Prorated Base NPC'!$30:$30,0))</f>
        <v>1912132.46205</v>
      </c>
      <c r="L24" s="39">
        <f>+INDEX('[4](6.1) Prorated Base NPC'!$81:$81,1,MATCH(L$6,'[4](6.1) Prorated Base NPC'!$30:$30,0))</f>
        <v>2266364.4785400005</v>
      </c>
      <c r="M24" s="39">
        <f>+INDEX('[4](6.1) Prorated Base NPC'!$81:$81,1,MATCH(M$6,'[4](6.1) Prorated Base NPC'!$30:$30,0))</f>
        <v>2314401.9906899994</v>
      </c>
      <c r="N24" s="39">
        <f>+INDEX('[4](6.1) Prorated Base NPC'!$81:$81,1,MATCH(N$6,'[4](6.1) Prorated Base NPC'!$30:$30,0))</f>
        <v>1968925.9935399997</v>
      </c>
      <c r="O24" s="39"/>
      <c r="P24" s="39"/>
      <c r="Q24" s="39"/>
      <c r="R24" s="18"/>
      <c r="S24" s="39">
        <f>+SUM(F24:Q24)</f>
        <v>17999721.92661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23.513430121202727</v>
      </c>
      <c r="G26" s="49">
        <f>+G22/G24</f>
        <v>23.906435118701161</v>
      </c>
      <c r="H26" s="49">
        <f>+H22/H24</f>
        <v>24.416391785714946</v>
      </c>
      <c r="I26" s="49">
        <f t="shared" ref="I26:N26" si="4">+I22/I24</f>
        <v>24.486351417373282</v>
      </c>
      <c r="J26" s="49">
        <f t="shared" si="4"/>
        <v>25.879887291328394</v>
      </c>
      <c r="K26" s="49">
        <f t="shared" si="4"/>
        <v>27.017035695529522</v>
      </c>
      <c r="L26" s="49">
        <f t="shared" si="4"/>
        <v>26.930943449021843</v>
      </c>
      <c r="M26" s="49">
        <f t="shared" si="4"/>
        <v>27.742072562598825</v>
      </c>
      <c r="N26" s="49">
        <f t="shared" si="4"/>
        <v>27.843003180183249</v>
      </c>
      <c r="O26" s="49"/>
      <c r="P26" s="49"/>
      <c r="Q26" s="49"/>
      <c r="R26" s="18"/>
      <c r="S26" s="49">
        <f>+S22/S24</f>
        <v>25.83124635030067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>+F16-F26</f>
        <v>1.0830913161323821</v>
      </c>
      <c r="G30" s="60">
        <f t="shared" ref="G30:N30" si="5">+G16-G26</f>
        <v>0.57989414650143445</v>
      </c>
      <c r="H30" s="60">
        <f t="shared" si="5"/>
        <v>1.0956310629434363</v>
      </c>
      <c r="I30" s="60">
        <f t="shared" si="5"/>
        <v>-0.38326461183023497</v>
      </c>
      <c r="J30" s="60">
        <f t="shared" si="5"/>
        <v>-0.82159426332020047</v>
      </c>
      <c r="K30" s="60">
        <f t="shared" si="5"/>
        <v>-1.1252565252921016</v>
      </c>
      <c r="L30" s="60">
        <f t="shared" si="5"/>
        <v>6.0089575960791173</v>
      </c>
      <c r="M30" s="60">
        <f t="shared" si="5"/>
        <v>0.92401657792007086</v>
      </c>
      <c r="N30" s="60">
        <f t="shared" si="5"/>
        <v>2.6685296876466147</v>
      </c>
      <c r="O30" s="60"/>
      <c r="P30" s="60"/>
      <c r="Q30" s="60"/>
      <c r="R30" s="18"/>
      <c r="S30" s="60">
        <f>+S16-S26</f>
        <v>1.2208869005856329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45">
        <f>+F30*F14</f>
        <v>2354047.8225647355</v>
      </c>
      <c r="G32" s="39">
        <f t="shared" ref="G32:N32" si="6">+G30*G14</f>
        <v>1076072.1697093099</v>
      </c>
      <c r="H32" s="39">
        <f t="shared" si="6"/>
        <v>2030052.7933198332</v>
      </c>
      <c r="I32" s="39">
        <f t="shared" si="6"/>
        <v>-685074.50008441927</v>
      </c>
      <c r="J32" s="39">
        <f t="shared" si="6"/>
        <v>-1574053.8160897221</v>
      </c>
      <c r="K32" s="39">
        <f t="shared" si="6"/>
        <v>-2416177.2267854461</v>
      </c>
      <c r="L32" s="39">
        <f t="shared" si="6"/>
        <v>14039029.91533599</v>
      </c>
      <c r="M32" s="39">
        <f t="shared" si="6"/>
        <v>2258253.1042897897</v>
      </c>
      <c r="N32" s="39">
        <f t="shared" si="6"/>
        <v>5271973.9815765321</v>
      </c>
      <c r="O32" s="39"/>
      <c r="P32" s="39"/>
      <c r="Q32" s="39"/>
      <c r="R32" s="18"/>
      <c r="S32" s="39">
        <f>+SUM(F32:Q32)</f>
        <v>22354124.243836604</v>
      </c>
      <c r="T32" s="33"/>
      <c r="U32" s="34"/>
    </row>
    <row r="33" spans="1:21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1647833.4757953149</v>
      </c>
      <c r="G34" s="39">
        <f>G32*0.7</f>
        <v>753250.51879651693</v>
      </c>
      <c r="H34" s="39">
        <f>H32*0.7</f>
        <v>1421036.9553238831</v>
      </c>
      <c r="I34" s="39">
        <f t="shared" ref="I34:N34" si="7">I32*0.7</f>
        <v>-479552.15005909343</v>
      </c>
      <c r="J34" s="39">
        <f t="shared" si="7"/>
        <v>-1101837.6712628054</v>
      </c>
      <c r="K34" s="39">
        <f t="shared" si="7"/>
        <v>-1691324.0587498122</v>
      </c>
      <c r="L34" s="39">
        <f t="shared" si="7"/>
        <v>9827320.940735193</v>
      </c>
      <c r="M34" s="39">
        <f t="shared" si="7"/>
        <v>1580777.1730028526</v>
      </c>
      <c r="N34" s="39">
        <f t="shared" si="7"/>
        <v>3690381.7871035724</v>
      </c>
      <c r="O34" s="39"/>
      <c r="P34" s="39"/>
      <c r="Q34" s="39"/>
      <c r="R34" s="18"/>
      <c r="S34" s="39">
        <f>+SUM(F34:Q34)</f>
        <v>15647886.970685622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Revenues'!$53:$53,1,MATCH(F$6,'[4](7.1) Wheeling Revenues'!$10:$10,0))</f>
        <v>0</v>
      </c>
      <c r="G35" s="37">
        <f>+INDEX('[4](7.1) Wheeling Revenues'!$53:$53,1,MATCH(G$6,'[4](7.1) Wheeling Revenues'!$10:$10,0))</f>
        <v>0</v>
      </c>
      <c r="H35" s="37">
        <f>+INDEX('[4](7.1) Wheeling Revenues'!$53:$53,1,MATCH(H$6,'[4](7.1) Wheeling Revenues'!$10:$10,0))</f>
        <v>0</v>
      </c>
      <c r="I35" s="37">
        <f>+INDEX('[4](7.1) Wheeling Revenues'!$53:$53,1,MATCH(I$6,'[4](7.1) Wheeling Revenues'!$10:$10,0))</f>
        <v>0</v>
      </c>
      <c r="J35" s="37">
        <f>+INDEX('[4](7.1) Wheeling Revenues'!$53:$53,1,MATCH(J$6,'[4](7.1) Wheeling Revenues'!$10:$10,0))</f>
        <v>0</v>
      </c>
      <c r="K35" s="37">
        <f>+INDEX('[4](7.1) Wheeling Revenues'!$53:$53,1,MATCH(K$6,'[4](7.1) Wheeling Revenues'!$10:$10,0))</f>
        <v>0</v>
      </c>
      <c r="L35" s="37">
        <f>+INDEX('[4](7.1) Wheeling Revenues'!$53:$53,1,MATCH(L$6,'[4](7.1) Wheeling Revenues'!$10:$10,0))</f>
        <v>0</v>
      </c>
      <c r="M35" s="37">
        <f>+INDEX('[4](7.1) Wheeling Revenues'!$53:$53,1,MATCH(M$6,'[4](7.1) Wheeling Revenues'!$10:$10,0))</f>
        <v>0</v>
      </c>
      <c r="N35" s="37">
        <f>+INDEX('[4](7.1) Wheeling Revenues'!$53:$53,1,MATCH(N$6,'[4](7.1) Wheeling Revenues'!$10:$10,0))</f>
        <v>0</v>
      </c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1647833.4757953149</v>
      </c>
      <c r="G36" s="61">
        <f>+SUM(G34:G35)</f>
        <v>753250.51879651693</v>
      </c>
      <c r="H36" s="61">
        <f>+SUM(H34:H35)</f>
        <v>1421036.9553238831</v>
      </c>
      <c r="I36" s="61">
        <f t="shared" ref="I36:K36" si="8">+SUM(I34:I35)</f>
        <v>-479552.15005909343</v>
      </c>
      <c r="J36" s="61">
        <f t="shared" si="8"/>
        <v>-1101837.6712628054</v>
      </c>
      <c r="K36" s="61">
        <f t="shared" si="8"/>
        <v>-1691324.0587498122</v>
      </c>
      <c r="L36" s="61">
        <f>+SUM(L34:L35)</f>
        <v>9827320.940735193</v>
      </c>
      <c r="M36" s="61">
        <f t="shared" ref="M36:Q36" si="9">+SUM(M34:M35)</f>
        <v>1580777.1730028526</v>
      </c>
      <c r="N36" s="61">
        <f t="shared" si="9"/>
        <v>3690381.7871035724</v>
      </c>
      <c r="O36" s="61">
        <f t="shared" si="9"/>
        <v>0</v>
      </c>
      <c r="P36" s="61">
        <f t="shared" si="9"/>
        <v>0</v>
      </c>
      <c r="Q36" s="61">
        <f t="shared" si="9"/>
        <v>0</v>
      </c>
      <c r="R36" s="18"/>
      <c r="S36" s="37">
        <f>+SUM(F36:Q36)</f>
        <v>15647886.970685622</v>
      </c>
      <c r="T36" s="33"/>
      <c r="U36" s="34"/>
    </row>
    <row r="37" spans="1:21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:N40" si="10">+G40</f>
        <v>5.0000000000000001E-3</v>
      </c>
      <c r="I40" s="68">
        <f t="shared" si="10"/>
        <v>5.0000000000000001E-3</v>
      </c>
      <c r="J40" s="68">
        <f t="shared" si="10"/>
        <v>5.0000000000000001E-3</v>
      </c>
      <c r="K40" s="68">
        <f t="shared" si="10"/>
        <v>5.0000000000000001E-3</v>
      </c>
      <c r="L40" s="68">
        <f t="shared" si="10"/>
        <v>5.0000000000000001E-3</v>
      </c>
      <c r="M40" s="68">
        <f t="shared" si="10"/>
        <v>5.0000000000000001E-3</v>
      </c>
      <c r="N40" s="68">
        <f t="shared" si="10"/>
        <v>5.0000000000000001E-3</v>
      </c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>+F44</f>
        <v>1651953.0594848031</v>
      </c>
      <c r="H41" s="70">
        <f t="shared" ref="H41:M41" si="11">+G44</f>
        <v>2415346.4698757357</v>
      </c>
      <c r="I41" s="70">
        <f t="shared" si="11"/>
        <v>3852012.7499373071</v>
      </c>
      <c r="J41" s="70">
        <f t="shared" si="11"/>
        <v>3390521.7832527529</v>
      </c>
      <c r="K41" s="70">
        <f t="shared" si="11"/>
        <v>2302882.1267280541</v>
      </c>
      <c r="L41" s="70">
        <f t="shared" si="11"/>
        <v>618844.16846500768</v>
      </c>
      <c r="M41" s="70">
        <f t="shared" si="11"/>
        <v>10473827.632394362</v>
      </c>
      <c r="N41" s="70">
        <f>+M44</f>
        <v>12110925.886491694</v>
      </c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1647833.4757953149</v>
      </c>
      <c r="G42" s="70">
        <f>+G36</f>
        <v>753250.51879651693</v>
      </c>
      <c r="H42" s="70">
        <f>+H36</f>
        <v>1421036.9553238831</v>
      </c>
      <c r="I42" s="70">
        <f t="shared" ref="I42:K42" si="12">+I36</f>
        <v>-479552.15005909343</v>
      </c>
      <c r="J42" s="70">
        <f t="shared" si="12"/>
        <v>-1101837.6712628054</v>
      </c>
      <c r="K42" s="70">
        <f t="shared" si="12"/>
        <v>-1691324.0587498122</v>
      </c>
      <c r="L42" s="70">
        <f>+L36</f>
        <v>9827320.940735193</v>
      </c>
      <c r="M42" s="70">
        <f t="shared" ref="M42:N42" si="13">+M36</f>
        <v>1580777.1730028526</v>
      </c>
      <c r="N42" s="70">
        <f t="shared" si="13"/>
        <v>3690381.7871035724</v>
      </c>
      <c r="O42" s="70"/>
      <c r="P42" s="70"/>
      <c r="Q42" s="70"/>
      <c r="R42" s="18"/>
      <c r="S42" s="70">
        <f>+SUM(F42:Q42)</f>
        <v>15647886.970685622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14">+(F41+0.5*SUM(F42:F42))*F40</f>
        <v>4119.5836894882868</v>
      </c>
      <c r="G43" s="73">
        <f t="shared" si="14"/>
        <v>10142.891594415309</v>
      </c>
      <c r="H43" s="73">
        <f t="shared" si="14"/>
        <v>15629.324737688386</v>
      </c>
      <c r="I43" s="73">
        <f t="shared" ref="I43:K43" si="15">+(I41+0.5*SUM(I42:I42))*I40</f>
        <v>18061.183374538803</v>
      </c>
      <c r="J43" s="73">
        <f t="shared" si="15"/>
        <v>14198.014738106751</v>
      </c>
      <c r="K43" s="73">
        <f t="shared" si="15"/>
        <v>7286.1004867657402</v>
      </c>
      <c r="L43" s="73">
        <f t="shared" ref="L43:N43" si="16">+(L41+0.5*SUM(L42:L42))*L40</f>
        <v>27662.523194163023</v>
      </c>
      <c r="M43" s="73">
        <f t="shared" si="16"/>
        <v>56321.081094478948</v>
      </c>
      <c r="N43" s="73">
        <f t="shared" si="16"/>
        <v>69780.583900217403</v>
      </c>
      <c r="O43" s="73"/>
      <c r="P43" s="73"/>
      <c r="Q43" s="73"/>
      <c r="R43" s="18"/>
      <c r="S43" s="39">
        <f>+SUM(F43:Q43)</f>
        <v>223201.28680986265</v>
      </c>
      <c r="T43" s="71"/>
      <c r="U43" s="34"/>
    </row>
    <row r="44" spans="1:2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Q44" si="17">+SUM(F41:F43)</f>
        <v>1651953.0594848031</v>
      </c>
      <c r="G44" s="61">
        <f t="shared" si="17"/>
        <v>2415346.4698757357</v>
      </c>
      <c r="H44" s="61">
        <f t="shared" si="17"/>
        <v>3852012.7499373071</v>
      </c>
      <c r="I44" s="61">
        <f t="shared" ref="I44:K44" si="18">+SUM(I41:I43)</f>
        <v>3390521.7832527529</v>
      </c>
      <c r="J44" s="61">
        <f t="shared" si="18"/>
        <v>2302882.1267280541</v>
      </c>
      <c r="K44" s="61">
        <f t="shared" si="18"/>
        <v>618844.16846500768</v>
      </c>
      <c r="L44" s="61">
        <f t="shared" ref="L44:M44" si="19">+SUM(L41:L43)</f>
        <v>10473827.632394362</v>
      </c>
      <c r="M44" s="61">
        <f t="shared" si="19"/>
        <v>12110925.886491694</v>
      </c>
      <c r="N44" s="61">
        <f>+SUM(N41:N43)</f>
        <v>15871088.257495483</v>
      </c>
      <c r="O44" s="61">
        <f t="shared" si="17"/>
        <v>0</v>
      </c>
      <c r="P44" s="61">
        <f t="shared" si="17"/>
        <v>0</v>
      </c>
      <c r="Q44" s="61">
        <f t="shared" si="17"/>
        <v>0</v>
      </c>
      <c r="R44" s="18"/>
      <c r="S44" s="61">
        <f>+SUM(S41:S43)</f>
        <v>15871088.257495485</v>
      </c>
      <c r="T44" s="71"/>
      <c r="U44" s="34"/>
    </row>
    <row r="45" spans="1:2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U83" s="34"/>
    </row>
    <row r="84" spans="18:21" ht="15.75" customHeight="1"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58" orientation="landscape" r:id="rId1"/>
  <headerFooter alignWithMargins="0">
    <oddFooter>&amp;C&amp;"arial"&amp;11Exhibit 4 - Docket 11-035-200 Stipulation Exhibit A3 Method (Monthly Allocation)&amp;R&amp;"arial"&amp;11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Workpaper Index</vt:lpstr>
      <vt:lpstr>(Exh.1) A1 Scalar Method</vt:lpstr>
      <vt:lpstr>(Exh.2)09-035-15 Comm Ord Methd</vt:lpstr>
      <vt:lpstr>(Exh.3) A2 Method</vt:lpstr>
      <vt:lpstr>(Exh.4) A3 Method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p12508</dc:creator>
  <cp:lastModifiedBy>laurieharris</cp:lastModifiedBy>
  <cp:lastPrinted>2013-12-09T22:32:30Z</cp:lastPrinted>
  <dcterms:created xsi:type="dcterms:W3CDTF">2013-12-09T22:17:14Z</dcterms:created>
  <dcterms:modified xsi:type="dcterms:W3CDTF">2013-12-11T18:04:09Z</dcterms:modified>
</cp:coreProperties>
</file>