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hisWorkbook" defaultThemeVersion="124226"/>
  <bookViews>
    <workbookView xWindow="30" yWindow="15" windowWidth="12720" windowHeight="8085" tabRatio="605" firstSheet="2" activeTab="8"/>
  </bookViews>
  <sheets>
    <sheet name="Table 1" sheetId="30" r:id="rId1"/>
    <sheet name="Table 2" sheetId="17" r:id="rId2"/>
    <sheet name="Tables 3 to 6" sheetId="5" r:id="rId3"/>
    <sheet name="Table 7" sheetId="13" r:id="rId4"/>
    <sheet name="Table 8" sheetId="28" r:id="rId5"/>
    <sheet name="Table 9" sheetId="29" r:id="rId6"/>
    <sheet name="Table 10" sheetId="32" r:id="rId7"/>
    <sheet name="Table 11" sheetId="34" r:id="rId8"/>
    <sheet name="Table 12" sheetId="35" r:id="rId9"/>
    <sheet name="--- Do Not Print ---&gt;" sheetId="37" r:id="rId10"/>
    <sheet name="Tariff Page" sheetId="36" r:id="rId11"/>
  </sheets>
  <externalReferences>
    <externalReference r:id="rId12"/>
  </externalReferences>
  <definedNames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dateTable">'[1]on off peak hours'!$C$15:$ED$15</definedName>
    <definedName name="DispatchSum">"GRID Thermal Generation!R2C1:R4C2"</definedName>
    <definedName name="HoursHoliday">'[1]on off peak hours'!$C$16:$ED$20</definedName>
    <definedName name="_xlnm.Print_Area" localSheetId="0">'Table 1'!$A$1:$M$54</definedName>
    <definedName name="_xlnm.Print_Area" localSheetId="6">'Table 10'!$A$1:$G$38</definedName>
    <definedName name="_xlnm.Print_Area" localSheetId="7">'Table 11'!$A$1:$Q$31</definedName>
    <definedName name="_xlnm.Print_Area" localSheetId="8">'Table 12'!$A$1:$Q$25</definedName>
    <definedName name="_xlnm.Print_Area" localSheetId="1">'Table 2'!$A$1:$M$62</definedName>
    <definedName name="_xlnm.Print_Area" localSheetId="3">'Table 7'!$A$1:$E$46</definedName>
    <definedName name="_xlnm.Print_Area" localSheetId="4">'Table 8'!$B$1:$K$141</definedName>
    <definedName name="_xlnm.Print_Area" localSheetId="5">'Table 9'!$A$1:$D$41</definedName>
    <definedName name="_xlnm.Print_Area" localSheetId="2">'Tables 3 to 6'!$A$1:$Z$46</definedName>
    <definedName name="_xlnm.Print_Area" localSheetId="10">'Tariff Page'!$A$1:$H$47</definedName>
    <definedName name="RevenueSum">"GRID Thermal Revenue!R2C1:R4C2"</definedName>
    <definedName name="Study_Name">[1]ImportData!$D$7</definedName>
  </definedNames>
  <calcPr calcId="125725" calcOnSave="0"/>
</workbook>
</file>

<file path=xl/calcChain.xml><?xml version="1.0" encoding="utf-8"?>
<calcChain xmlns="http://schemas.openxmlformats.org/spreadsheetml/2006/main">
  <c r="C46" i="5"/>
  <c r="B33" l="1"/>
  <c r="J8" i="36" l="1"/>
  <c r="J9" s="1"/>
  <c r="R30"/>
  <c r="J10" l="1"/>
  <c r="B8"/>
  <c r="B9" s="1"/>
  <c r="B10" s="1"/>
  <c r="B11" s="1"/>
  <c r="B12" s="1"/>
  <c r="B13" s="1"/>
  <c r="B14" l="1"/>
  <c r="J11"/>
  <c r="D124" i="28"/>
  <c r="B15" i="36" l="1"/>
  <c r="J12"/>
  <c r="E7" i="35"/>
  <c r="B16" i="36" l="1"/>
  <c r="J13"/>
  <c r="F7" i="35"/>
  <c r="B17" i="36" l="1"/>
  <c r="J14"/>
  <c r="G7" i="35"/>
  <c r="B18" i="36" l="1"/>
  <c r="J15"/>
  <c r="H7" i="35"/>
  <c r="B19" i="36" l="1"/>
  <c r="J16"/>
  <c r="I7" i="35"/>
  <c r="B20" i="36" l="1"/>
  <c r="J17"/>
  <c r="J7" i="35"/>
  <c r="K7" s="1"/>
  <c r="L7" s="1"/>
  <c r="M7" s="1"/>
  <c r="B21" i="36" l="1"/>
  <c r="J18"/>
  <c r="B22" l="1"/>
  <c r="J19"/>
  <c r="B23" l="1"/>
  <c r="J20"/>
  <c r="B24" l="1"/>
  <c r="J21"/>
  <c r="B25" l="1"/>
  <c r="J22"/>
  <c r="B26" l="1"/>
  <c r="J23"/>
  <c r="B10" i="29"/>
  <c r="B27" i="36" l="1"/>
  <c r="J24"/>
  <c r="B10" i="32"/>
  <c r="B7" i="34"/>
  <c r="B28" i="36" l="1"/>
  <c r="J25"/>
  <c r="B21" i="34"/>
  <c r="B8"/>
  <c r="B29" i="36" l="1"/>
  <c r="J26"/>
  <c r="B22" i="34"/>
  <c r="B9"/>
  <c r="B30" i="36" l="1"/>
  <c r="J27"/>
  <c r="B10" i="34"/>
  <c r="B23"/>
  <c r="B31" i="36" l="1"/>
  <c r="J28"/>
  <c r="B11" i="34"/>
  <c r="B24"/>
  <c r="B32" i="36" l="1"/>
  <c r="J29"/>
  <c r="B12" i="34"/>
  <c r="B25"/>
  <c r="J30" i="36" l="1"/>
  <c r="B13" i="34"/>
  <c r="B26"/>
  <c r="J31" i="36" l="1"/>
  <c r="B14" i="34"/>
  <c r="B27"/>
  <c r="J32" i="36" l="1"/>
  <c r="B15" i="34"/>
  <c r="B28"/>
  <c r="B16" l="1"/>
  <c r="B29"/>
  <c r="B17" l="1"/>
  <c r="B30"/>
  <c r="A34" i="17" l="1"/>
  <c r="A35" s="1"/>
  <c r="A36" s="1"/>
  <c r="A37" s="1"/>
  <c r="A38" s="1"/>
  <c r="A39" s="1"/>
  <c r="A40" s="1"/>
  <c r="A41" s="1"/>
  <c r="A22"/>
  <c r="A10"/>
  <c r="A11" s="1"/>
  <c r="A12" s="1"/>
  <c r="A13" s="1"/>
  <c r="A14" s="1"/>
  <c r="A15" s="1"/>
  <c r="C43" i="5"/>
  <c r="A53" i="17" l="1"/>
  <c r="A16"/>
  <c r="A23"/>
  <c r="A52"/>
  <c r="A54" l="1"/>
  <c r="A17"/>
  <c r="A24"/>
  <c r="A25" s="1"/>
  <c r="A55" l="1"/>
  <c r="A26"/>
  <c r="A27" s="1"/>
  <c r="A28" s="1"/>
  <c r="A29" s="1"/>
  <c r="Q9" i="5" l="1"/>
  <c r="B11" i="32" l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A51" i="17" l="1"/>
  <c r="D38" i="28" l="1"/>
  <c r="B38"/>
  <c r="D39"/>
  <c r="B11" i="29" l="1"/>
  <c r="B12" l="1"/>
  <c r="C132" i="28"/>
  <c r="B13" i="29" l="1"/>
  <c r="C133" i="28"/>
  <c r="B14" i="29" l="1"/>
  <c r="C134" i="28"/>
  <c r="B15" i="29" l="1"/>
  <c r="C135" i="28"/>
  <c r="B16" i="29" l="1"/>
  <c r="C136" i="28"/>
  <c r="B17" i="29" l="1"/>
  <c r="C137" i="28"/>
  <c r="B18" i="29" l="1"/>
  <c r="C138" i="28"/>
  <c r="B19" i="29" l="1"/>
  <c r="C139" i="28"/>
  <c r="B20" i="29" l="1"/>
  <c r="F131" i="28"/>
  <c r="B21" i="29" l="1"/>
  <c r="F132" i="28"/>
  <c r="B22" i="29" l="1"/>
  <c r="F133" i="28"/>
  <c r="B23" i="29" l="1"/>
  <c r="F134" i="28"/>
  <c r="B24" i="29" l="1"/>
  <c r="F135" i="28"/>
  <c r="B25" i="29" l="1"/>
  <c r="F136" i="28"/>
  <c r="B26" i="29" l="1"/>
  <c r="F137" i="28"/>
  <c r="B27" i="29" l="1"/>
  <c r="F138" i="28"/>
  <c r="B28" i="29" l="1"/>
  <c r="F139" i="28"/>
  <c r="B29" i="29" l="1"/>
  <c r="I131" i="28"/>
  <c r="B30" i="29" l="1"/>
  <c r="I132" i="28"/>
  <c r="B31" i="29" l="1"/>
  <c r="I133" i="28"/>
  <c r="B32" i="29" l="1"/>
  <c r="I134" i="28"/>
  <c r="B33" i="29" l="1"/>
  <c r="I135" i="28"/>
  <c r="B34" i="29" l="1"/>
  <c r="I136" i="28"/>
  <c r="I137" l="1"/>
  <c r="I138" l="1"/>
  <c r="I139" l="1"/>
  <c r="J112"/>
  <c r="J111"/>
  <c r="E116"/>
  <c r="D95" l="1"/>
  <c r="B29" i="30"/>
  <c r="B45" s="1"/>
  <c r="B25"/>
  <c r="B41" s="1"/>
  <c r="D98" i="28" l="1"/>
  <c r="U44" i="5" l="1"/>
  <c r="B46"/>
  <c r="B13"/>
  <c r="I106" i="28"/>
  <c r="C10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E10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F106"/>
  <c r="F107"/>
  <c r="H106"/>
  <c r="H107"/>
  <c r="F111"/>
  <c r="F112"/>
  <c r="I107"/>
  <c r="A11" i="13"/>
  <c r="C41" i="5"/>
  <c r="C42" s="1"/>
  <c r="K111" i="28"/>
  <c r="K112"/>
  <c r="H12" i="5"/>
  <c r="I41"/>
  <c r="B9" i="28"/>
  <c r="B11"/>
  <c r="C39"/>
  <c r="C40"/>
  <c r="D40"/>
  <c r="C41"/>
  <c r="D41"/>
  <c r="B51"/>
  <c r="B52"/>
  <c r="B59"/>
  <c r="B61"/>
  <c r="B88"/>
  <c r="B89"/>
  <c r="C95"/>
  <c r="C96"/>
  <c r="C97"/>
  <c r="D97"/>
  <c r="C98"/>
  <c r="C99"/>
  <c r="C100"/>
  <c r="D100"/>
  <c r="C111"/>
  <c r="G111"/>
  <c r="C112"/>
  <c r="G112"/>
  <c r="N132"/>
  <c r="N133" s="1"/>
  <c r="N134" s="1"/>
  <c r="N135" s="1"/>
  <c r="N136" s="1"/>
  <c r="N137" s="1"/>
  <c r="V41" i="5"/>
  <c r="B60" i="17"/>
  <c r="H42" i="5"/>
  <c r="U12"/>
  <c r="N13"/>
  <c r="N12"/>
  <c r="B44"/>
  <c r="E9"/>
  <c r="O41"/>
  <c r="O42"/>
  <c r="I43"/>
  <c r="V44"/>
  <c r="H44"/>
  <c r="S9"/>
  <c r="R9"/>
  <c r="Z9"/>
  <c r="Y9"/>
  <c r="U42"/>
  <c r="Z5"/>
  <c r="Y5"/>
  <c r="U41"/>
  <c r="B42"/>
  <c r="B41"/>
  <c r="L9"/>
  <c r="H43"/>
  <c r="H41"/>
  <c r="N42"/>
  <c r="N41"/>
  <c r="B41" i="13"/>
  <c r="E9"/>
  <c r="A42"/>
  <c r="A41"/>
  <c r="B12" i="28" l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14" i="5"/>
  <c r="N14" s="1"/>
  <c r="U13"/>
  <c r="B62" i="28"/>
  <c r="B63" s="1"/>
  <c r="B64" s="1"/>
  <c r="B65" s="1"/>
  <c r="B66" s="1"/>
  <c r="B67" s="1"/>
  <c r="B68" s="1"/>
  <c r="H112"/>
  <c r="F10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H13" i="5"/>
  <c r="H111" i="28"/>
  <c r="H113" s="1"/>
  <c r="D126" s="1"/>
  <c r="A12" i="13"/>
  <c r="F108" i="28"/>
  <c r="G106" s="1"/>
  <c r="G107" s="1"/>
  <c r="G108" s="1"/>
  <c r="F113"/>
  <c r="H108"/>
  <c r="C60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N138"/>
  <c r="G10" l="1"/>
  <c r="H10" s="1"/>
  <c r="B15" i="5"/>
  <c r="B16" s="1"/>
  <c r="U14"/>
  <c r="H14"/>
  <c r="G36" i="28"/>
  <c r="H36" s="1"/>
  <c r="I108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N15" i="5"/>
  <c r="D127" i="28"/>
  <c r="E127"/>
  <c r="A13" i="13"/>
  <c r="B69" i="28"/>
  <c r="I111"/>
  <c r="I112" s="1"/>
  <c r="J113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N139"/>
  <c r="G113"/>
  <c r="D96" s="1"/>
  <c r="N16" i="5" l="1"/>
  <c r="B17"/>
  <c r="H16"/>
  <c r="U16"/>
  <c r="H15"/>
  <c r="U15"/>
  <c r="G86" i="28"/>
  <c r="H86" s="1"/>
  <c r="G11"/>
  <c r="H11" s="1"/>
  <c r="A14" i="13"/>
  <c r="G61" i="28"/>
  <c r="K113"/>
  <c r="B70"/>
  <c r="B71" s="1"/>
  <c r="B72" s="1"/>
  <c r="I113"/>
  <c r="F6" i="5"/>
  <c r="K6" s="1"/>
  <c r="F9"/>
  <c r="N140" i="28"/>
  <c r="G60"/>
  <c r="H60" s="1"/>
  <c r="N17" i="5" l="1"/>
  <c r="B18"/>
  <c r="B19" s="1"/>
  <c r="H17"/>
  <c r="U17"/>
  <c r="B73" i="28"/>
  <c r="D99"/>
  <c r="J21" i="5"/>
  <c r="I42"/>
  <c r="G12" i="28"/>
  <c r="H12" s="1"/>
  <c r="A15" i="13"/>
  <c r="G62" i="28"/>
  <c r="H61"/>
  <c r="N141"/>
  <c r="V42" i="5"/>
  <c r="W9"/>
  <c r="B22" l="1"/>
  <c r="U19"/>
  <c r="H19"/>
  <c r="N19"/>
  <c r="N18"/>
  <c r="H18"/>
  <c r="U18"/>
  <c r="B74" i="28"/>
  <c r="G13"/>
  <c r="H13" s="1"/>
  <c r="A16" i="13"/>
  <c r="G63" i="28"/>
  <c r="N142"/>
  <c r="H62"/>
  <c r="B75" l="1"/>
  <c r="G14"/>
  <c r="H14" s="1"/>
  <c r="A17" i="13"/>
  <c r="G64" i="28"/>
  <c r="H63"/>
  <c r="N143"/>
  <c r="B76" l="1"/>
  <c r="G15"/>
  <c r="H15" s="1"/>
  <c r="A18" i="13"/>
  <c r="G65" i="28"/>
  <c r="H65" s="1"/>
  <c r="N144"/>
  <c r="H64"/>
  <c r="B77" l="1"/>
  <c r="I44" i="5"/>
  <c r="A19" i="13"/>
  <c r="N145" i="28"/>
  <c r="B78" l="1"/>
  <c r="B23" i="5"/>
  <c r="N22"/>
  <c r="H22"/>
  <c r="U22"/>
  <c r="A20" i="13"/>
  <c r="N146" i="28"/>
  <c r="B79" l="1"/>
  <c r="B24" i="5"/>
  <c r="U23"/>
  <c r="H23"/>
  <c r="N23"/>
  <c r="A21" i="13"/>
  <c r="N147" i="28"/>
  <c r="B80" l="1"/>
  <c r="H24" i="5"/>
  <c r="N24"/>
  <c r="U24"/>
  <c r="B25"/>
  <c r="A22" i="13"/>
  <c r="B81" i="28" l="1"/>
  <c r="B26" i="5"/>
  <c r="H25"/>
  <c r="U25"/>
  <c r="N25"/>
  <c r="A23" i="13"/>
  <c r="B82" i="28" l="1"/>
  <c r="U26" i="5"/>
  <c r="B27"/>
  <c r="H26"/>
  <c r="N26"/>
  <c r="G16" i="28"/>
  <c r="H16" s="1"/>
  <c r="G66"/>
  <c r="H66" s="1"/>
  <c r="A24" i="13"/>
  <c r="B83" i="28" l="1"/>
  <c r="N27" i="5"/>
  <c r="H27"/>
  <c r="B28"/>
  <c r="U27"/>
  <c r="G67" i="28"/>
  <c r="H67" s="1"/>
  <c r="G17"/>
  <c r="H17" s="1"/>
  <c r="A25" i="13"/>
  <c r="B84" i="28" l="1"/>
  <c r="B29" i="5"/>
  <c r="N28"/>
  <c r="H28"/>
  <c r="U28"/>
  <c r="G18" i="28"/>
  <c r="H18" s="1"/>
  <c r="G68"/>
  <c r="H68" s="1"/>
  <c r="A26" i="13"/>
  <c r="B85" i="28" l="1"/>
  <c r="B30" i="5"/>
  <c r="B31" s="1"/>
  <c r="U29"/>
  <c r="N29"/>
  <c r="H29"/>
  <c r="G69" i="28"/>
  <c r="H69" s="1"/>
  <c r="G19"/>
  <c r="H19" s="1"/>
  <c r="A27" i="13"/>
  <c r="H31" i="5" l="1"/>
  <c r="N31"/>
  <c r="U31"/>
  <c r="B32"/>
  <c r="B86" i="28"/>
  <c r="U30" i="5"/>
  <c r="N30"/>
  <c r="H30"/>
  <c r="G20" i="28"/>
  <c r="H20" s="1"/>
  <c r="G70"/>
  <c r="H70" s="1"/>
  <c r="A28" i="13"/>
  <c r="N32" i="5" l="1"/>
  <c r="U32"/>
  <c r="H32"/>
  <c r="G71" i="28"/>
  <c r="H71" s="1"/>
  <c r="G21"/>
  <c r="H21" s="1"/>
  <c r="A29" i="13"/>
  <c r="G22" i="28" l="1"/>
  <c r="H22" s="1"/>
  <c r="D22" i="5" s="1"/>
  <c r="G72" i="28"/>
  <c r="H72" s="1"/>
  <c r="A30" i="13"/>
  <c r="A37" s="1"/>
  <c r="C22" i="5" l="1"/>
  <c r="D38" i="13"/>
  <c r="G73" i="28"/>
  <c r="H73" s="1"/>
  <c r="G23"/>
  <c r="H23" s="1"/>
  <c r="D23" i="5" s="1"/>
  <c r="A31" i="13"/>
  <c r="C23" i="5" l="1"/>
  <c r="G24" i="28"/>
  <c r="H24" s="1"/>
  <c r="D24" i="5" s="1"/>
  <c r="G74" i="28"/>
  <c r="H74" s="1"/>
  <c r="A32" i="13"/>
  <c r="B34" i="5" l="1"/>
  <c r="B35" s="1"/>
  <c r="N33"/>
  <c r="U33"/>
  <c r="H33"/>
  <c r="C24"/>
  <c r="G75" i="28"/>
  <c r="H75" s="1"/>
  <c r="G25"/>
  <c r="H25" s="1"/>
  <c r="D25" i="5" s="1"/>
  <c r="A33" i="13"/>
  <c r="B36" i="5" l="1"/>
  <c r="H35"/>
  <c r="U35"/>
  <c r="N35"/>
  <c r="N34"/>
  <c r="U34"/>
  <c r="H34"/>
  <c r="C25"/>
  <c r="G26" i="28"/>
  <c r="H26" s="1"/>
  <c r="G76"/>
  <c r="H76" s="1"/>
  <c r="C31" i="5" s="1"/>
  <c r="A34" i="13"/>
  <c r="D26" i="5" l="1"/>
  <c r="D31"/>
  <c r="E31" s="1"/>
  <c r="F31" s="1"/>
  <c r="K31" s="1"/>
  <c r="U36"/>
  <c r="H36"/>
  <c r="B37"/>
  <c r="N36"/>
  <c r="C26"/>
  <c r="G77" i="28"/>
  <c r="H77" s="1"/>
  <c r="C32" i="5" s="1"/>
  <c r="G27" i="28"/>
  <c r="H27" s="1"/>
  <c r="A35" i="13"/>
  <c r="D27" i="5" l="1"/>
  <c r="D32"/>
  <c r="E32" s="1"/>
  <c r="F32" s="1"/>
  <c r="K32" s="1"/>
  <c r="V31"/>
  <c r="W31" s="1"/>
  <c r="O31"/>
  <c r="N37"/>
  <c r="B38"/>
  <c r="H37"/>
  <c r="U37"/>
  <c r="C27"/>
  <c r="G28" i="28"/>
  <c r="H28" s="1"/>
  <c r="G78"/>
  <c r="H78" s="1"/>
  <c r="D28" i="5" l="1"/>
  <c r="V32"/>
  <c r="W32" s="1"/>
  <c r="O32"/>
  <c r="C38"/>
  <c r="U38"/>
  <c r="H38"/>
  <c r="D38"/>
  <c r="N38"/>
  <c r="C28"/>
  <c r="G79" i="28"/>
  <c r="H79" s="1"/>
  <c r="G29"/>
  <c r="H29" s="1"/>
  <c r="D29" i="5" l="1"/>
  <c r="C29"/>
  <c r="G30" i="28"/>
  <c r="H30" s="1"/>
  <c r="D30" i="5" s="1"/>
  <c r="G80" i="28"/>
  <c r="H80" s="1"/>
  <c r="C30" i="5" l="1"/>
  <c r="G81" i="28"/>
  <c r="H81" s="1"/>
  <c r="G31"/>
  <c r="H31" s="1"/>
  <c r="G32" l="1"/>
  <c r="H32" s="1"/>
  <c r="D33" i="5" s="1"/>
  <c r="G82" i="28"/>
  <c r="H82" s="1"/>
  <c r="C33" i="5" l="1"/>
  <c r="G83" i="28"/>
  <c r="H83" s="1"/>
  <c r="C35" i="5" s="1"/>
  <c r="G33" i="28"/>
  <c r="H33" s="1"/>
  <c r="D34" i="5" l="1"/>
  <c r="D35"/>
  <c r="E35" s="1"/>
  <c r="F35" s="1"/>
  <c r="K35" s="1"/>
  <c r="C34"/>
  <c r="G84" i="28"/>
  <c r="H84" s="1"/>
  <c r="G85"/>
  <c r="H85" s="1"/>
  <c r="G35"/>
  <c r="H35" s="1"/>
  <c r="D37" i="5" s="1"/>
  <c r="G34" i="28"/>
  <c r="H34" s="1"/>
  <c r="D36" i="5" s="1"/>
  <c r="O35" l="1"/>
  <c r="V35"/>
  <c r="W35" s="1"/>
  <c r="C36"/>
  <c r="C37"/>
  <c r="A48" i="17" l="1"/>
  <c r="A49" l="1"/>
  <c r="A50" l="1"/>
  <c r="A3"/>
  <c r="D56" i="30" l="1"/>
  <c r="E56" s="1"/>
  <c r="F56" s="1"/>
  <c r="G56" s="1"/>
  <c r="H56" s="1"/>
  <c r="I56" s="1"/>
  <c r="J56" s="1"/>
  <c r="K56" s="1"/>
  <c r="E24" i="5" l="1"/>
  <c r="F24" s="1"/>
  <c r="K24" s="1"/>
  <c r="E25"/>
  <c r="F25" s="1"/>
  <c r="K25" s="1"/>
  <c r="E29"/>
  <c r="F29" s="1"/>
  <c r="K29" s="1"/>
  <c r="E36"/>
  <c r="F36" s="1"/>
  <c r="K36" s="1"/>
  <c r="E22"/>
  <c r="F22" s="1"/>
  <c r="K22" s="1"/>
  <c r="E26"/>
  <c r="F26" s="1"/>
  <c r="K26" s="1"/>
  <c r="E27"/>
  <c r="F27" s="1"/>
  <c r="K27" s="1"/>
  <c r="E30"/>
  <c r="F30" s="1"/>
  <c r="K30" s="1"/>
  <c r="E23"/>
  <c r="F23" s="1"/>
  <c r="K23" s="1"/>
  <c r="E33"/>
  <c r="F33" s="1"/>
  <c r="K33" s="1"/>
  <c r="E34"/>
  <c r="F34" s="1"/>
  <c r="K34" s="1"/>
  <c r="E28"/>
  <c r="F28" s="1"/>
  <c r="K28" s="1"/>
  <c r="E37"/>
  <c r="F37" s="1"/>
  <c r="K37" s="1"/>
  <c r="E38" l="1"/>
  <c r="F38" s="1"/>
  <c r="K38" s="1"/>
  <c r="V37"/>
  <c r="W37" s="1"/>
  <c r="O37"/>
  <c r="O34"/>
  <c r="V34"/>
  <c r="W34" s="1"/>
  <c r="V29"/>
  <c r="W29" s="1"/>
  <c r="O29"/>
  <c r="V27"/>
  <c r="W27" s="1"/>
  <c r="O27"/>
  <c r="O25"/>
  <c r="V25"/>
  <c r="W25" s="1"/>
  <c r="V23"/>
  <c r="W23" s="1"/>
  <c r="O23"/>
  <c r="V22"/>
  <c r="W22" s="1"/>
  <c r="O22"/>
  <c r="O36"/>
  <c r="V36"/>
  <c r="W36" s="1"/>
  <c r="V33"/>
  <c r="W33" s="1"/>
  <c r="O33"/>
  <c r="L23" i="36" s="1"/>
  <c r="K23" s="1"/>
  <c r="V30" i="5"/>
  <c r="W30" s="1"/>
  <c r="O30"/>
  <c r="L21" i="36" s="1"/>
  <c r="K21" s="1"/>
  <c r="O28" i="5"/>
  <c r="V28"/>
  <c r="W28" s="1"/>
  <c r="O26"/>
  <c r="V26"/>
  <c r="W26" s="1"/>
  <c r="O24"/>
  <c r="V24"/>
  <c r="W24" s="1"/>
  <c r="L18" i="36" l="1"/>
  <c r="K18" s="1"/>
  <c r="L20"/>
  <c r="K20" s="1"/>
  <c r="L19"/>
  <c r="K19" s="1"/>
  <c r="L22"/>
  <c r="K22" s="1"/>
  <c r="L26"/>
  <c r="K26" s="1"/>
  <c r="L30"/>
  <c r="K30" s="1"/>
  <c r="L25"/>
  <c r="K25" s="1"/>
  <c r="L29"/>
  <c r="K29" s="1"/>
  <c r="L24"/>
  <c r="K24" s="1"/>
  <c r="L28"/>
  <c r="K28" s="1"/>
  <c r="O38" i="5"/>
  <c r="L32" i="36" s="1"/>
  <c r="K32" s="1"/>
  <c r="V38" i="5"/>
  <c r="W38" s="1"/>
  <c r="L27" i="36" l="1"/>
  <c r="K27" s="1"/>
  <c r="L31"/>
  <c r="K31" s="1"/>
  <c r="C29" i="34" l="1"/>
  <c r="C30" l="1"/>
  <c r="L17" i="36" l="1"/>
  <c r="K17" l="1"/>
  <c r="L16" l="1"/>
  <c r="K16" s="1"/>
  <c r="E15" i="17" l="1"/>
  <c r="E39" s="1"/>
  <c r="E17"/>
  <c r="E41" s="1"/>
  <c r="K15" l="1"/>
  <c r="K39" s="1"/>
  <c r="F15"/>
  <c r="F39" s="1"/>
  <c r="M15"/>
  <c r="M39" s="1"/>
  <c r="I15"/>
  <c r="I39" s="1"/>
  <c r="C15"/>
  <c r="C39" s="1"/>
  <c r="D15"/>
  <c r="D39" s="1"/>
  <c r="I16"/>
  <c r="I40" s="1"/>
  <c r="J15"/>
  <c r="J39" s="1"/>
  <c r="J16"/>
  <c r="J40" s="1"/>
  <c r="K17"/>
  <c r="K41" s="1"/>
  <c r="D17"/>
  <c r="D41" s="1"/>
  <c r="L15"/>
  <c r="L39" s="1"/>
  <c r="C17"/>
  <c r="C41" s="1"/>
  <c r="G15" l="1"/>
  <c r="G16"/>
  <c r="G17"/>
  <c r="H16"/>
  <c r="H40" s="1"/>
  <c r="D16"/>
  <c r="D40" s="1"/>
  <c r="C16"/>
  <c r="C40" s="1"/>
  <c r="L17"/>
  <c r="L41" s="1"/>
  <c r="J17"/>
  <c r="J41" s="1"/>
  <c r="H49"/>
  <c r="M16"/>
  <c r="M40" s="1"/>
  <c r="H15"/>
  <c r="H39" s="1"/>
  <c r="L16"/>
  <c r="L40" s="1"/>
  <c r="M17"/>
  <c r="M41" s="1"/>
  <c r="H17"/>
  <c r="H41" s="1"/>
  <c r="K16"/>
  <c r="K40" s="1"/>
  <c r="F17"/>
  <c r="F41" s="1"/>
  <c r="F16"/>
  <c r="F40" s="1"/>
  <c r="E16"/>
  <c r="E40" s="1"/>
  <c r="I17"/>
  <c r="I41" s="1"/>
  <c r="F9" i="36" l="1"/>
  <c r="G55" i="17"/>
  <c r="G41"/>
  <c r="I55" s="1"/>
  <c r="G54"/>
  <c r="G40"/>
  <c r="I54" s="1"/>
  <c r="G53"/>
  <c r="G39"/>
  <c r="I53" s="1"/>
  <c r="H48"/>
  <c r="H50"/>
  <c r="H52"/>
  <c r="D48"/>
  <c r="H51"/>
  <c r="H55"/>
  <c r="H54"/>
  <c r="L48"/>
  <c r="L12" i="5" s="1"/>
  <c r="H53" i="17"/>
  <c r="D50" l="1"/>
  <c r="L50"/>
  <c r="L14" i="5" s="1"/>
  <c r="F14" i="36"/>
  <c r="F15"/>
  <c r="F11"/>
  <c r="E8"/>
  <c r="F12"/>
  <c r="F10"/>
  <c r="F8"/>
  <c r="D13"/>
  <c r="D14"/>
  <c r="D15"/>
  <c r="L49" i="17"/>
  <c r="L13" i="5" s="1"/>
  <c r="D49" i="17"/>
  <c r="F13" i="36"/>
  <c r="X12" i="5"/>
  <c r="P12"/>
  <c r="B17" i="17" l="1"/>
  <c r="L55"/>
  <c r="D55"/>
  <c r="D53"/>
  <c r="B15"/>
  <c r="L53"/>
  <c r="L17" i="5" s="1"/>
  <c r="L51" i="17"/>
  <c r="L15" i="5" s="1"/>
  <c r="D51" i="17"/>
  <c r="Z12" i="5"/>
  <c r="E9" i="36"/>
  <c r="E10"/>
  <c r="D52" i="17"/>
  <c r="L52"/>
  <c r="B16"/>
  <c r="L54"/>
  <c r="L18" i="5" s="1"/>
  <c r="D54" i="17"/>
  <c r="M8" i="36"/>
  <c r="X13" i="5"/>
  <c r="P13"/>
  <c r="X14"/>
  <c r="P14"/>
  <c r="M10" i="36" l="1"/>
  <c r="M9"/>
  <c r="E14"/>
  <c r="B40" i="17"/>
  <c r="K54"/>
  <c r="C54"/>
  <c r="L16" i="5"/>
  <c r="L19"/>
  <c r="X15"/>
  <c r="P15"/>
  <c r="C53" i="17"/>
  <c r="B39"/>
  <c r="K53"/>
  <c r="E15" i="36"/>
  <c r="C55" i="17"/>
  <c r="K55"/>
  <c r="B41"/>
  <c r="Z14" i="5"/>
  <c r="Z13"/>
  <c r="P18"/>
  <c r="X18"/>
  <c r="E12" i="36"/>
  <c r="E11"/>
  <c r="P17" i="5"/>
  <c r="X17"/>
  <c r="E13" i="36"/>
  <c r="Z17" i="5" l="1"/>
  <c r="M14" i="36"/>
  <c r="C13"/>
  <c r="Z15" i="5"/>
  <c r="X19"/>
  <c r="P19"/>
  <c r="C14" i="36"/>
  <c r="M54" i="17"/>
  <c r="E54"/>
  <c r="M13" i="36"/>
  <c r="Z18" i="5"/>
  <c r="M55" i="17"/>
  <c r="E55"/>
  <c r="C15" i="36"/>
  <c r="M53" i="17"/>
  <c r="E53"/>
  <c r="M11" i="36"/>
  <c r="X16" i="5"/>
  <c r="P16"/>
  <c r="M12" i="36" l="1"/>
  <c r="M15"/>
  <c r="Z16" i="5"/>
  <c r="Z19"/>
  <c r="E16" i="35" l="1"/>
  <c r="E9" l="1"/>
  <c r="E10"/>
  <c r="C26" i="30" l="1"/>
  <c r="D42"/>
  <c r="E11" i="35"/>
  <c r="E18" s="1"/>
  <c r="B3" i="30" l="1"/>
  <c r="B3" i="34" l="1"/>
  <c r="B3" i="35"/>
  <c r="C10" i="30" l="1"/>
  <c r="C33"/>
  <c r="C35" s="1"/>
  <c r="C36" s="1"/>
  <c r="C17" l="1"/>
  <c r="C19" s="1"/>
  <c r="C20" s="1"/>
  <c r="C21" i="34" l="1"/>
  <c r="D12" i="5" s="1"/>
  <c r="V12" l="1"/>
  <c r="W12" s="1"/>
  <c r="O12"/>
  <c r="D49" i="30"/>
  <c r="D51" s="1"/>
  <c r="D52" s="1"/>
  <c r="H10" i="17" l="1"/>
  <c r="I10"/>
  <c r="I34" s="1"/>
  <c r="L10"/>
  <c r="L34" s="1"/>
  <c r="J10"/>
  <c r="J34" s="1"/>
  <c r="M10"/>
  <c r="M34" s="1"/>
  <c r="K10"/>
  <c r="Y12" i="5"/>
  <c r="L8" i="36"/>
  <c r="K8" s="1"/>
  <c r="Q12" i="5"/>
  <c r="R12"/>
  <c r="B11" i="13" s="1"/>
  <c r="S12" i="5"/>
  <c r="E11" i="13" l="1"/>
  <c r="H34" i="17"/>
  <c r="G48"/>
  <c r="K48"/>
  <c r="H8" i="36"/>
  <c r="C48" i="17"/>
  <c r="K34"/>
  <c r="E48" s="1"/>
  <c r="I48" l="1"/>
  <c r="M48"/>
  <c r="C8" i="36"/>
  <c r="D8"/>
  <c r="F10" i="35" l="1"/>
  <c r="D26" i="30" l="1"/>
  <c r="F9" i="35"/>
  <c r="F11" s="1"/>
  <c r="D33" i="30" l="1"/>
  <c r="D35" s="1"/>
  <c r="D36" s="1"/>
  <c r="E42" l="1"/>
  <c r="D10"/>
  <c r="D17"/>
  <c r="D19" s="1"/>
  <c r="D20" s="1"/>
  <c r="F16" i="35" l="1"/>
  <c r="F18" s="1"/>
  <c r="E49" i="30" l="1"/>
  <c r="E51" s="1"/>
  <c r="E52" s="1"/>
  <c r="C22" i="34" l="1"/>
  <c r="D13" i="5" s="1"/>
  <c r="V13" l="1"/>
  <c r="W13" s="1"/>
  <c r="O13"/>
  <c r="G10" i="35"/>
  <c r="E26" i="30" l="1"/>
  <c r="G9" i="35"/>
  <c r="G11" s="1"/>
  <c r="J11" i="17"/>
  <c r="J35" s="1"/>
  <c r="K11"/>
  <c r="K35" s="1"/>
  <c r="M11"/>
  <c r="M35" s="1"/>
  <c r="H11"/>
  <c r="H35" s="1"/>
  <c r="L11"/>
  <c r="L35" s="1"/>
  <c r="D11"/>
  <c r="D35" s="1"/>
  <c r="I11"/>
  <c r="I35" s="1"/>
  <c r="C11"/>
  <c r="C35" s="1"/>
  <c r="E11"/>
  <c r="E35" s="1"/>
  <c r="G11"/>
  <c r="F11"/>
  <c r="F35" s="1"/>
  <c r="B11"/>
  <c r="Y13" i="5"/>
  <c r="L9" i="36"/>
  <c r="K9" s="1"/>
  <c r="Q13" i="5"/>
  <c r="R13"/>
  <c r="B12" i="13" s="1"/>
  <c r="S13" i="5"/>
  <c r="E12" i="13" l="1"/>
  <c r="H9" i="36"/>
  <c r="C49" i="17"/>
  <c r="B35"/>
  <c r="K49"/>
  <c r="G49"/>
  <c r="G35"/>
  <c r="I49" s="1"/>
  <c r="C9" i="36" l="1"/>
  <c r="D9"/>
  <c r="E49" i="17"/>
  <c r="M49"/>
  <c r="E33" i="30" l="1"/>
  <c r="E35" s="1"/>
  <c r="E36" s="1"/>
  <c r="F42" l="1"/>
  <c r="E10"/>
  <c r="E17" l="1"/>
  <c r="E19" s="1"/>
  <c r="E20" s="1"/>
  <c r="G16" i="35" l="1"/>
  <c r="G18" s="1"/>
  <c r="F49" i="30"/>
  <c r="F51" s="1"/>
  <c r="F52" s="1"/>
  <c r="C23" i="34" l="1"/>
  <c r="D14" i="5" s="1"/>
  <c r="O14" l="1"/>
  <c r="V14"/>
  <c r="W14" s="1"/>
  <c r="H10" i="35"/>
  <c r="L10" i="36" l="1"/>
  <c r="K10" s="1"/>
  <c r="R14" i="5"/>
  <c r="B13" i="13" s="1"/>
  <c r="S14" i="5"/>
  <c r="Q14"/>
  <c r="F26" i="30"/>
  <c r="H9" i="35"/>
  <c r="H11" s="1"/>
  <c r="L12" i="17"/>
  <c r="L36" s="1"/>
  <c r="D12"/>
  <c r="D36" s="1"/>
  <c r="I12"/>
  <c r="I36" s="1"/>
  <c r="C12"/>
  <c r="C36" s="1"/>
  <c r="M12"/>
  <c r="M36" s="1"/>
  <c r="H12"/>
  <c r="H36" s="1"/>
  <c r="F12"/>
  <c r="F36" s="1"/>
  <c r="J12"/>
  <c r="J36" s="1"/>
  <c r="E12"/>
  <c r="E36" s="1"/>
  <c r="K12"/>
  <c r="K36" s="1"/>
  <c r="G12"/>
  <c r="B12"/>
  <c r="Y14" i="5"/>
  <c r="C50" i="17" l="1"/>
  <c r="B36"/>
  <c r="K50"/>
  <c r="E13" i="13"/>
  <c r="H10" i="36"/>
  <c r="G50" i="17"/>
  <c r="G36"/>
  <c r="I50" s="1"/>
  <c r="C10" i="36" l="1"/>
  <c r="D10"/>
  <c r="M50" i="17"/>
  <c r="E50"/>
  <c r="F33" i="30" l="1"/>
  <c r="F35" s="1"/>
  <c r="F36" s="1"/>
  <c r="G42" l="1"/>
  <c r="F10"/>
  <c r="F17" l="1"/>
  <c r="F19" s="1"/>
  <c r="F20" s="1"/>
  <c r="H16" i="35" l="1"/>
  <c r="H18" s="1"/>
  <c r="G49" i="30" l="1"/>
  <c r="G51" s="1"/>
  <c r="G52" s="1"/>
  <c r="C24" i="34" l="1"/>
  <c r="D15" i="5" s="1"/>
  <c r="V15" l="1"/>
  <c r="W15" s="1"/>
  <c r="O15"/>
  <c r="I10" i="35"/>
  <c r="G26" i="30" l="1"/>
  <c r="I9" i="35"/>
  <c r="I11" s="1"/>
  <c r="G13" i="17"/>
  <c r="E13"/>
  <c r="E37" s="1"/>
  <c r="M13"/>
  <c r="M37" s="1"/>
  <c r="C13"/>
  <c r="C37" s="1"/>
  <c r="I13"/>
  <c r="I37" s="1"/>
  <c r="H13"/>
  <c r="H37" s="1"/>
  <c r="L13"/>
  <c r="L37" s="1"/>
  <c r="K13"/>
  <c r="K37" s="1"/>
  <c r="F13"/>
  <c r="F37" s="1"/>
  <c r="J13"/>
  <c r="J37" s="1"/>
  <c r="D13"/>
  <c r="D37" s="1"/>
  <c r="B13"/>
  <c r="Y15" i="5"/>
  <c r="L11" i="36"/>
  <c r="K11" s="1"/>
  <c r="R15" i="5"/>
  <c r="B14" i="13" s="1"/>
  <c r="S15" i="5"/>
  <c r="Q15"/>
  <c r="G37" i="17" l="1"/>
  <c r="I51" s="1"/>
  <c r="G51"/>
  <c r="E14" i="13"/>
  <c r="H11" i="36"/>
  <c r="C51" i="17"/>
  <c r="B37"/>
  <c r="K51"/>
  <c r="C11" i="36" l="1"/>
  <c r="E51" i="17"/>
  <c r="M51"/>
  <c r="D11" i="36"/>
  <c r="G33" i="30" l="1"/>
  <c r="G35" s="1"/>
  <c r="G36" s="1"/>
  <c r="H42" l="1"/>
  <c r="G17" l="1"/>
  <c r="G10"/>
  <c r="G19" l="1"/>
  <c r="G20" s="1"/>
  <c r="I16" i="35" l="1"/>
  <c r="I18" s="1"/>
  <c r="H49" i="30" l="1"/>
  <c r="H51" s="1"/>
  <c r="H52" s="1"/>
  <c r="C25" i="34" l="1"/>
  <c r="D16" i="5" s="1"/>
  <c r="V16" l="1"/>
  <c r="W16" s="1"/>
  <c r="Y16" s="1"/>
  <c r="O16"/>
  <c r="J10" i="35"/>
  <c r="H26" i="30" l="1"/>
  <c r="J9" i="35"/>
  <c r="J11" s="1"/>
  <c r="L12" i="36"/>
  <c r="K12" s="1"/>
  <c r="S16" i="5"/>
  <c r="Q16"/>
  <c r="R16"/>
  <c r="B15" i="13" s="1"/>
  <c r="E15" l="1"/>
  <c r="H12" i="36"/>
  <c r="H33" i="30" l="1"/>
  <c r="H35" s="1"/>
  <c r="H36" s="1"/>
  <c r="I42" l="1"/>
  <c r="H10"/>
  <c r="H17" l="1"/>
  <c r="H19" s="1"/>
  <c r="H20" s="1"/>
  <c r="I49" l="1"/>
  <c r="I51" s="1"/>
  <c r="I52" s="1"/>
  <c r="J16" i="35"/>
  <c r="J18" s="1"/>
  <c r="C26" i="34" l="1"/>
  <c r="D17" i="5" s="1"/>
  <c r="K10" i="35"/>
  <c r="I26" i="30" l="1"/>
  <c r="K9" i="35"/>
  <c r="K11" s="1"/>
  <c r="V17" i="5"/>
  <c r="W17" s="1"/>
  <c r="Y17" s="1"/>
  <c r="O17"/>
  <c r="L13" i="36" l="1"/>
  <c r="K13" s="1"/>
  <c r="H13" s="1"/>
  <c r="S17" i="5"/>
  <c r="Q17"/>
  <c r="R17"/>
  <c r="B16" i="13" s="1"/>
  <c r="E16" s="1"/>
  <c r="I33" i="30" l="1"/>
  <c r="I35" s="1"/>
  <c r="I36" s="1"/>
  <c r="J42" l="1"/>
  <c r="I10"/>
  <c r="I17"/>
  <c r="I19" l="1"/>
  <c r="I20"/>
  <c r="K16" i="35" l="1"/>
  <c r="K18" s="1"/>
  <c r="C27" i="34"/>
  <c r="D18" i="5" s="1"/>
  <c r="J49" i="30"/>
  <c r="J51" s="1"/>
  <c r="J52" s="1"/>
  <c r="O18" i="5" l="1"/>
  <c r="V18"/>
  <c r="W18" s="1"/>
  <c r="Y18" s="1"/>
  <c r="L10" i="35"/>
  <c r="L14" i="36" l="1"/>
  <c r="K14" s="1"/>
  <c r="H14" s="1"/>
  <c r="Q18" i="5"/>
  <c r="R18"/>
  <c r="B17" i="13" s="1"/>
  <c r="E17" s="1"/>
  <c r="S18" i="5"/>
  <c r="J26" i="30"/>
  <c r="L9" i="35"/>
  <c r="L11" s="1"/>
  <c r="J33" i="30" l="1"/>
  <c r="J35" s="1"/>
  <c r="J36" s="1"/>
  <c r="K42" l="1"/>
  <c r="J10"/>
  <c r="J17" l="1"/>
  <c r="J19" s="1"/>
  <c r="J20" s="1"/>
  <c r="L16" i="35" l="1"/>
  <c r="L18" s="1"/>
  <c r="K49" i="30" l="1"/>
  <c r="K51" s="1"/>
  <c r="K52" s="1"/>
  <c r="M10" i="35" l="1"/>
  <c r="C28" i="34"/>
  <c r="D19" i="5" s="1"/>
  <c r="O19" l="1"/>
  <c r="V19"/>
  <c r="W19" s="1"/>
  <c r="K26" i="30"/>
  <c r="M9" i="35"/>
  <c r="M11" s="1"/>
  <c r="L15" i="36" l="1"/>
  <c r="K15" s="1"/>
  <c r="R19" i="5"/>
  <c r="B18" i="13" s="1"/>
  <c r="S19" i="5"/>
  <c r="Q19"/>
  <c r="H14" i="17"/>
  <c r="H38" s="1"/>
  <c r="K14"/>
  <c r="K38" s="1"/>
  <c r="L14"/>
  <c r="L38" s="1"/>
  <c r="M14"/>
  <c r="M38" s="1"/>
  <c r="I14"/>
  <c r="I38" s="1"/>
  <c r="F14"/>
  <c r="F38" s="1"/>
  <c r="E14"/>
  <c r="E38" s="1"/>
  <c r="D14"/>
  <c r="D38" s="1"/>
  <c r="G14"/>
  <c r="J14"/>
  <c r="J38" s="1"/>
  <c r="C14"/>
  <c r="C38" s="1"/>
  <c r="B14"/>
  <c r="Y19" i="5"/>
  <c r="K52" i="17" l="1"/>
  <c r="B38"/>
  <c r="C52"/>
  <c r="E18" i="13"/>
  <c r="H15" i="36"/>
  <c r="O8"/>
  <c r="G52" i="17"/>
  <c r="G38"/>
  <c r="I52" s="1"/>
  <c r="C12" i="36" l="1"/>
  <c r="D12"/>
  <c r="E52" i="17"/>
  <c r="M52"/>
  <c r="K33" i="30"/>
  <c r="K35" s="1"/>
  <c r="K36" s="1"/>
  <c r="K10" l="1"/>
  <c r="K17" l="1"/>
  <c r="K19" s="1"/>
  <c r="K20" s="1"/>
  <c r="M16" i="35" l="1"/>
  <c r="M18" s="1"/>
  <c r="I23" i="5" l="1"/>
  <c r="J23" s="1"/>
  <c r="L23" s="1"/>
  <c r="I22"/>
  <c r="J22" s="1"/>
  <c r="L22" s="1"/>
  <c r="I79" i="28"/>
  <c r="J79" s="1"/>
  <c r="K79" s="1"/>
  <c r="I86" l="1"/>
  <c r="J86" s="1"/>
  <c r="K86" s="1"/>
  <c r="I38" i="5"/>
  <c r="J38" s="1"/>
  <c r="L38" s="1"/>
  <c r="I84" i="28"/>
  <c r="J84" s="1"/>
  <c r="K84" s="1"/>
  <c r="I36" i="5"/>
  <c r="J36" s="1"/>
  <c r="L36" s="1"/>
  <c r="I34"/>
  <c r="J34" s="1"/>
  <c r="L34" s="1"/>
  <c r="I82" i="28"/>
  <c r="J82" s="1"/>
  <c r="K82" s="1"/>
  <c r="I33" i="5"/>
  <c r="J33" s="1"/>
  <c r="L33" s="1"/>
  <c r="I81" i="28"/>
  <c r="J81" s="1"/>
  <c r="K81" s="1"/>
  <c r="I78"/>
  <c r="J78" s="1"/>
  <c r="K78" s="1"/>
  <c r="I30" i="5"/>
  <c r="J30" s="1"/>
  <c r="L30" s="1"/>
  <c r="I80" i="28"/>
  <c r="J80" s="1"/>
  <c r="K80" s="1"/>
  <c r="I32" i="5"/>
  <c r="J32" s="1"/>
  <c r="L32" s="1"/>
  <c r="I26"/>
  <c r="J26" s="1"/>
  <c r="L26" s="1"/>
  <c r="I74" i="28"/>
  <c r="J74" s="1"/>
  <c r="K74" s="1"/>
  <c r="I29" i="5"/>
  <c r="J29" s="1"/>
  <c r="L29" s="1"/>
  <c r="I77" i="28"/>
  <c r="J77" s="1"/>
  <c r="K77" s="1"/>
  <c r="I24" i="5"/>
  <c r="J24" s="1"/>
  <c r="L24" s="1"/>
  <c r="I72" i="28"/>
  <c r="J72" s="1"/>
  <c r="K72" s="1"/>
  <c r="I75"/>
  <c r="J75" s="1"/>
  <c r="K75" s="1"/>
  <c r="I27" i="5"/>
  <c r="J27" s="1"/>
  <c r="L27" s="1"/>
  <c r="P23"/>
  <c r="X23"/>
  <c r="I37"/>
  <c r="J37" s="1"/>
  <c r="L37" s="1"/>
  <c r="I85" i="28"/>
  <c r="J85" s="1"/>
  <c r="K85" s="1"/>
  <c r="I35" i="5"/>
  <c r="J35" s="1"/>
  <c r="L35" s="1"/>
  <c r="I83" i="28"/>
  <c r="J83" s="1"/>
  <c r="K83" s="1"/>
  <c r="I31" i="5"/>
  <c r="J31" s="1"/>
  <c r="L31" s="1"/>
  <c r="I76" i="28"/>
  <c r="J76" s="1"/>
  <c r="K76" s="1"/>
  <c r="I28" i="5"/>
  <c r="J28" s="1"/>
  <c r="L28" s="1"/>
  <c r="I25"/>
  <c r="J25" s="1"/>
  <c r="L25" s="1"/>
  <c r="I73" i="28"/>
  <c r="J73" s="1"/>
  <c r="K73" s="1"/>
  <c r="X22" i="5"/>
  <c r="P22"/>
  <c r="S22" l="1"/>
  <c r="R22"/>
  <c r="Q22"/>
  <c r="M16" i="36"/>
  <c r="P28" i="5"/>
  <c r="X28"/>
  <c r="P31"/>
  <c r="X31"/>
  <c r="X35"/>
  <c r="P35"/>
  <c r="X37"/>
  <c r="P37"/>
  <c r="Q23"/>
  <c r="R23"/>
  <c r="B20" i="13" s="1"/>
  <c r="E20" s="1"/>
  <c r="S23" i="5"/>
  <c r="M17" i="36"/>
  <c r="H17" s="1"/>
  <c r="P24" i="5"/>
  <c r="X24"/>
  <c r="P29"/>
  <c r="X29"/>
  <c r="X26"/>
  <c r="P26"/>
  <c r="X33"/>
  <c r="P33"/>
  <c r="P34"/>
  <c r="X34"/>
  <c r="Z22"/>
  <c r="E16" i="36" s="1"/>
  <c r="Y22" i="5"/>
  <c r="C16" i="36" s="1"/>
  <c r="P25" i="5"/>
  <c r="X25"/>
  <c r="Y23"/>
  <c r="Z23"/>
  <c r="X27"/>
  <c r="P27"/>
  <c r="P32"/>
  <c r="X32"/>
  <c r="P30"/>
  <c r="X30"/>
  <c r="X36"/>
  <c r="P36"/>
  <c r="P38"/>
  <c r="X38"/>
  <c r="S38" l="1"/>
  <c r="Q38"/>
  <c r="M32" i="36"/>
  <c r="H32" s="1"/>
  <c r="R38" i="5"/>
  <c r="B35" i="13" s="1"/>
  <c r="M24" i="36"/>
  <c r="H24" s="1"/>
  <c r="Q30" i="5"/>
  <c r="R30"/>
  <c r="S30"/>
  <c r="R32"/>
  <c r="M26" i="36"/>
  <c r="H26" s="1"/>
  <c r="S32" i="5"/>
  <c r="Q32"/>
  <c r="Y27"/>
  <c r="Z27"/>
  <c r="M19" i="36"/>
  <c r="H19" s="1"/>
  <c r="S25" i="5"/>
  <c r="Q25"/>
  <c r="R25"/>
  <c r="B22" i="13" s="1"/>
  <c r="E22" s="1"/>
  <c r="F16" i="36"/>
  <c r="Y37" i="5"/>
  <c r="C31" i="36" s="1"/>
  <c r="D31" s="1"/>
  <c r="Z37" i="5"/>
  <c r="E31" i="36" s="1"/>
  <c r="F31" s="1"/>
  <c r="Z35" i="5"/>
  <c r="E29" i="36" s="1"/>
  <c r="F29" s="1"/>
  <c r="Y35" i="5"/>
  <c r="C29" i="36" s="1"/>
  <c r="D29" s="1"/>
  <c r="S31" i="5"/>
  <c r="R31"/>
  <c r="B28" i="13" s="1"/>
  <c r="E28" s="1"/>
  <c r="M25" i="36"/>
  <c r="H25" s="1"/>
  <c r="Q31" i="5"/>
  <c r="Q28"/>
  <c r="S28"/>
  <c r="M22" i="36"/>
  <c r="H22" s="1"/>
  <c r="R28" i="5"/>
  <c r="B25" i="13" s="1"/>
  <c r="E25" s="1"/>
  <c r="Z36" i="5"/>
  <c r="E30" i="36" s="1"/>
  <c r="F30" s="1"/>
  <c r="Y36" i="5"/>
  <c r="C30" i="36" s="1"/>
  <c r="D30" s="1"/>
  <c r="Q34" i="5"/>
  <c r="S34"/>
  <c r="M28" i="36"/>
  <c r="H28" s="1"/>
  <c r="R34" i="5"/>
  <c r="B31" i="13" s="1"/>
  <c r="E31" s="1"/>
  <c r="Z33" i="5"/>
  <c r="E27" i="36" s="1"/>
  <c r="F27" s="1"/>
  <c r="Y33" i="5"/>
  <c r="C27" i="36" s="1"/>
  <c r="D27" s="1"/>
  <c r="Z26" i="5"/>
  <c r="Y26"/>
  <c r="S29"/>
  <c r="Q29"/>
  <c r="R29"/>
  <c r="B26" i="13" s="1"/>
  <c r="E26" s="1"/>
  <c r="S24" i="5"/>
  <c r="Q24"/>
  <c r="R24"/>
  <c r="Y38"/>
  <c r="C32" i="36" s="1"/>
  <c r="D32" s="1"/>
  <c r="Z38" i="5"/>
  <c r="E32" i="36" s="1"/>
  <c r="F32" s="1"/>
  <c r="S36" i="5"/>
  <c r="R36"/>
  <c r="B33" i="13" s="1"/>
  <c r="E33" s="1"/>
  <c r="M30" i="36"/>
  <c r="H30" s="1"/>
  <c r="Q36" i="5"/>
  <c r="Y30"/>
  <c r="C24" i="36" s="1"/>
  <c r="D24" s="1"/>
  <c r="Z30" i="5"/>
  <c r="E24" i="36" s="1"/>
  <c r="F24" s="1"/>
  <c r="Z32" i="5"/>
  <c r="E26" i="36" s="1"/>
  <c r="F26" s="1"/>
  <c r="Y32" i="5"/>
  <c r="C26" i="36" s="1"/>
  <c r="D26" s="1"/>
  <c r="M18"/>
  <c r="H18" s="1"/>
  <c r="R27" i="5"/>
  <c r="B24" i="13" s="1"/>
  <c r="E24" s="1"/>
  <c r="M21" i="36"/>
  <c r="H21" s="1"/>
  <c r="Q27" i="5"/>
  <c r="S27"/>
  <c r="Z25"/>
  <c r="E19" i="36" s="1"/>
  <c r="F19" s="1"/>
  <c r="Y25" i="5"/>
  <c r="C19" i="36" s="1"/>
  <c r="D19" s="1"/>
  <c r="D16"/>
  <c r="Y34" i="5"/>
  <c r="C28" i="36" s="1"/>
  <c r="D28" s="1"/>
  <c r="Z34" i="5"/>
  <c r="E28" i="36" s="1"/>
  <c r="F28" s="1"/>
  <c r="M23"/>
  <c r="H23" s="1"/>
  <c r="M27"/>
  <c r="H27" s="1"/>
  <c r="S33" i="5"/>
  <c r="R33"/>
  <c r="B30" i="13" s="1"/>
  <c r="E30" s="1"/>
  <c r="Q33" i="5"/>
  <c r="Q26"/>
  <c r="S26"/>
  <c r="M20" i="36"/>
  <c r="H20" s="1"/>
  <c r="R26" i="5"/>
  <c r="B23" i="13" s="1"/>
  <c r="E23" s="1"/>
  <c r="Z29" i="5"/>
  <c r="E23" i="36" s="1"/>
  <c r="F23" s="1"/>
  <c r="Y29" i="5"/>
  <c r="C23" i="36" s="1"/>
  <c r="D23" s="1"/>
  <c r="Y24" i="5"/>
  <c r="Z24"/>
  <c r="R37"/>
  <c r="B34" i="13" s="1"/>
  <c r="E34" s="1"/>
  <c r="Q37" i="5"/>
  <c r="S37"/>
  <c r="M31" i="36"/>
  <c r="H31" s="1"/>
  <c r="S35" i="5"/>
  <c r="R35"/>
  <c r="B32" i="13" s="1"/>
  <c r="E32" s="1"/>
  <c r="M29" i="36"/>
  <c r="H29" s="1"/>
  <c r="Q35" i="5"/>
  <c r="Z31"/>
  <c r="E25" i="36" s="1"/>
  <c r="F25" s="1"/>
  <c r="Y31" i="5"/>
  <c r="C25" i="36" s="1"/>
  <c r="D25" s="1"/>
  <c r="Z28" i="5"/>
  <c r="E22" i="36" s="1"/>
  <c r="F22" s="1"/>
  <c r="Y28" i="5"/>
  <c r="C22" i="36" s="1"/>
  <c r="D22" s="1"/>
  <c r="H16"/>
  <c r="P8"/>
  <c r="B21" i="13"/>
  <c r="E21" s="1"/>
  <c r="B19"/>
  <c r="E17" i="36" l="1"/>
  <c r="E20"/>
  <c r="F20" s="1"/>
  <c r="C18"/>
  <c r="D18" s="1"/>
  <c r="C21"/>
  <c r="D21" s="1"/>
  <c r="B29" i="13"/>
  <c r="E29" s="1"/>
  <c r="B27"/>
  <c r="E27" s="1"/>
  <c r="E19"/>
  <c r="C17" i="36"/>
  <c r="C20"/>
  <c r="D20" s="1"/>
  <c r="E18"/>
  <c r="F18" s="1"/>
  <c r="E21"/>
  <c r="F21" s="1"/>
  <c r="B38" i="13" l="1"/>
  <c r="E38" s="1"/>
  <c r="F17" i="36"/>
  <c r="F36" s="1"/>
  <c r="E36"/>
  <c r="D17"/>
  <c r="D36" s="1"/>
  <c r="C36"/>
</calcChain>
</file>

<file path=xl/comments1.xml><?xml version="1.0" encoding="utf-8"?>
<comments xmlns="http://schemas.openxmlformats.org/spreadsheetml/2006/main">
  <authors>
    <author>Bradley Mullins</author>
  </authors>
  <commentList>
    <comment ref="C130" authorId="0">
      <text>
        <r>
          <rPr>
            <b/>
            <sz val="8"/>
            <color indexed="81"/>
            <rFont val="Tahoma"/>
            <family val="2"/>
          </rPr>
          <t xml:space="preserve">Update label to May 2012 inflation forecast if sending out. </t>
        </r>
      </text>
    </comment>
  </commentList>
</comments>
</file>

<file path=xl/sharedStrings.xml><?xml version="1.0" encoding="utf-8"?>
<sst xmlns="http://schemas.openxmlformats.org/spreadsheetml/2006/main" count="437" uniqueCount="216">
  <si>
    <t>On-Peak Hours</t>
  </si>
  <si>
    <t>On-Peak</t>
  </si>
  <si>
    <t>Off-Peak</t>
  </si>
  <si>
    <t>Year</t>
  </si>
  <si>
    <t xml:space="preserve">Simple </t>
  </si>
  <si>
    <t>Fixed Costs</t>
  </si>
  <si>
    <t>($/kW-yr)</t>
  </si>
  <si>
    <t>Capitalized</t>
  </si>
  <si>
    <t>Energy Costs</t>
  </si>
  <si>
    <t>Costs</t>
  </si>
  <si>
    <t xml:space="preserve">Capitalized </t>
  </si>
  <si>
    <t>Combined</t>
  </si>
  <si>
    <t>Cycle CT</t>
  </si>
  <si>
    <t>($/MMBtu)</t>
  </si>
  <si>
    <t>Energy Cost</t>
  </si>
  <si>
    <t>Avoided</t>
  </si>
  <si>
    <t>Total</t>
  </si>
  <si>
    <t>Capitalized Energy Costs</t>
  </si>
  <si>
    <t>Total Avoided Energy Cost</t>
  </si>
  <si>
    <t>Total Avoided Costs</t>
  </si>
  <si>
    <t>At Stated Capacity Factor</t>
  </si>
  <si>
    <t>Total Avoided  Cost</t>
  </si>
  <si>
    <t>Columns</t>
  </si>
  <si>
    <t>(a)</t>
  </si>
  <si>
    <t>(b)</t>
  </si>
  <si>
    <t>(c)</t>
  </si>
  <si>
    <t>(d)</t>
  </si>
  <si>
    <t>(e)</t>
  </si>
  <si>
    <t>Avoided Firm</t>
  </si>
  <si>
    <t>Capacity</t>
  </si>
  <si>
    <t xml:space="preserve">Capacity Cost </t>
  </si>
  <si>
    <t>Allocated to</t>
  </si>
  <si>
    <t>Difference</t>
  </si>
  <si>
    <t>On- &amp; Off- Peak Energy Prices</t>
  </si>
  <si>
    <t>(f)</t>
  </si>
  <si>
    <t>Fuel Cost</t>
  </si>
  <si>
    <t>Table 3</t>
  </si>
  <si>
    <t>Table 4</t>
  </si>
  <si>
    <t>Table 5</t>
  </si>
  <si>
    <t>Table 6</t>
  </si>
  <si>
    <t>Table 7</t>
  </si>
  <si>
    <t>$/kW</t>
  </si>
  <si>
    <t>$/kW-yr</t>
  </si>
  <si>
    <t>$/MWH</t>
  </si>
  <si>
    <t>$/MMBtu</t>
  </si>
  <si>
    <t>Estimated Capital Cost</t>
  </si>
  <si>
    <t>Fixed Capital Cost at Real Levelized Rate</t>
  </si>
  <si>
    <t>Fixed O&amp;M</t>
  </si>
  <si>
    <t>Variable O&amp;M</t>
  </si>
  <si>
    <t>Total O&amp;M at Expected CF</t>
  </si>
  <si>
    <t>Total Resource Fixed Costs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</si>
  <si>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</si>
  <si>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</si>
  <si>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</si>
  <si>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</si>
  <si>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</si>
  <si>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</si>
  <si>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</si>
  <si>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</si>
  <si>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</si>
  <si>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</si>
  <si>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</si>
  <si>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</si>
  <si>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Winter Season</t>
  </si>
  <si>
    <t>Summer Season</t>
  </si>
  <si>
    <t>Winter</t>
  </si>
  <si>
    <t>Summer</t>
  </si>
  <si>
    <t>Source: (a)(c)(d)</t>
  </si>
  <si>
    <t>aMW</t>
  </si>
  <si>
    <t>Avoided Resource</t>
  </si>
  <si>
    <t>Current</t>
  </si>
  <si>
    <t>Avoided Costs</t>
  </si>
  <si>
    <t>Proposed</t>
  </si>
  <si>
    <t>Comparison between Proposed and Current Avoided Costs</t>
  </si>
  <si>
    <t xml:space="preserve"> </t>
  </si>
  <si>
    <t>Total Price @</t>
  </si>
  <si>
    <t>Price</t>
  </si>
  <si>
    <t>Capacity Factor</t>
  </si>
  <si>
    <t>Annual Seasonal Average</t>
  </si>
  <si>
    <t>Annual Average</t>
  </si>
  <si>
    <t>¢/kWh</t>
  </si>
  <si>
    <t>Cap Cost</t>
  </si>
  <si>
    <t>Fixed</t>
  </si>
  <si>
    <t>Heat Rate</t>
  </si>
  <si>
    <t>MW</t>
  </si>
  <si>
    <t>Table 1</t>
  </si>
  <si>
    <t xml:space="preserve"> $/kW-yr</t>
  </si>
  <si>
    <t>Table 2</t>
  </si>
  <si>
    <t xml:space="preserve">  Capitalized energy split 50% as Ordered by the Commission</t>
  </si>
  <si>
    <t>Percent</t>
  </si>
  <si>
    <t>CCCT Statistics</t>
  </si>
  <si>
    <t>Capacity Weighted</t>
  </si>
  <si>
    <t>CF</t>
  </si>
  <si>
    <t>Energy Weighted</t>
  </si>
  <si>
    <t>Fixed Cost x No. Months</t>
  </si>
  <si>
    <t>Fixed Cost</t>
  </si>
  <si>
    <t>Peak</t>
  </si>
  <si>
    <t>Combined costs are 57% On-Peak 43% Off-Peak</t>
  </si>
  <si>
    <t>Source:</t>
  </si>
  <si>
    <t>Blended Resource</t>
  </si>
  <si>
    <t>Net Load</t>
  </si>
  <si>
    <t>Long Term Sales</t>
  </si>
  <si>
    <t>Total Requirements</t>
  </si>
  <si>
    <t>Long Term Purchases</t>
  </si>
  <si>
    <t>Thermal Generation</t>
  </si>
  <si>
    <t>Other Generation</t>
  </si>
  <si>
    <t>Reserves</t>
  </si>
  <si>
    <t>Total Resources after Reserves</t>
  </si>
  <si>
    <t>Surplus / (Deficit)</t>
  </si>
  <si>
    <t>Percent Surplus / (Deficit)</t>
  </si>
  <si>
    <t>Peak (July)</t>
  </si>
  <si>
    <t>Short Term Firm Sales</t>
  </si>
  <si>
    <t>Short Term Firm Purchase</t>
  </si>
  <si>
    <t>Table 8</t>
  </si>
  <si>
    <t>Total Cost of Displaceable Resources</t>
  </si>
  <si>
    <t>Page 1 of 3</t>
  </si>
  <si>
    <t xml:space="preserve">  MW Plant capacity</t>
  </si>
  <si>
    <t xml:space="preserve">  Plant capacity cost - in $/kW</t>
  </si>
  <si>
    <t xml:space="preserve">  Payment Factor</t>
  </si>
  <si>
    <t xml:space="preserve">  Capacity Factor</t>
  </si>
  <si>
    <t>Page 2 of 3</t>
  </si>
  <si>
    <t>Page 3 of 3</t>
  </si>
  <si>
    <t>Sources, Inputs and Assumptions</t>
  </si>
  <si>
    <t>Variable</t>
  </si>
  <si>
    <t>Rounded</t>
  </si>
  <si>
    <t>CCCT</t>
  </si>
  <si>
    <t>Duct Firing</t>
  </si>
  <si>
    <t>Table 9</t>
  </si>
  <si>
    <t>Burnertip</t>
  </si>
  <si>
    <t>Source</t>
  </si>
  <si>
    <t>Loads and Resources</t>
  </si>
  <si>
    <t>Gas Fuel Costs</t>
  </si>
  <si>
    <t>Delivered</t>
  </si>
  <si>
    <t xml:space="preserve">Combined </t>
  </si>
  <si>
    <t>Note:</t>
  </si>
  <si>
    <t>Avoided Costs (1)</t>
  </si>
  <si>
    <t xml:space="preserve">     by QFs will depend upon actual generation levels.</t>
  </si>
  <si>
    <t>Total Avoided Costs with Capacity Costs included at 85% Capacity Factor</t>
  </si>
  <si>
    <t xml:space="preserve">(1)  Avoided costs are presented at expected levels.  Actual prices received </t>
  </si>
  <si>
    <t>Discount Rate</t>
  </si>
  <si>
    <t>East Side Gas</t>
  </si>
  <si>
    <t>Natural Gas Price - Delivered to Plant</t>
  </si>
  <si>
    <t>($/MWH)</t>
  </si>
  <si>
    <t>SCCT Frame (2 Frame "F" - Utah) - East Side Resource (4500')</t>
  </si>
  <si>
    <t>Peak (January)</t>
  </si>
  <si>
    <t>Prices on this tab are formated to be cut and pasted directly into the tariff page</t>
  </si>
  <si>
    <t>Table 10</t>
  </si>
  <si>
    <t>Market Price $/MWH</t>
  </si>
  <si>
    <t>HLH</t>
  </si>
  <si>
    <t>LLH</t>
  </si>
  <si>
    <t>Mid-Columbia</t>
  </si>
  <si>
    <t>Palo Verde</t>
  </si>
  <si>
    <t>Electricity Market Prices</t>
  </si>
  <si>
    <t>Company Official Inflation Forecast  - Dated March 2010</t>
  </si>
  <si>
    <t>month offset</t>
  </si>
  <si>
    <t>CCCT (Dry "F" 2x1)  - East Side Resource (4500')</t>
  </si>
  <si>
    <t>CCCT Duct Firing (Dry "F" 2x1)</t>
  </si>
  <si>
    <t>CCCT (Dry "F" 2x1)</t>
  </si>
  <si>
    <t xml:space="preserve">  Plant capacity cost</t>
  </si>
  <si>
    <t xml:space="preserve">  Variable O&amp;M Costs in $/MWh </t>
  </si>
  <si>
    <t xml:space="preserve">  Heat Rate in btu/kWh</t>
  </si>
  <si>
    <t xml:space="preserve">  Energy Weighted Capacity Factor</t>
  </si>
  <si>
    <t>Load and Resource (L&amp;R) Balance</t>
  </si>
  <si>
    <t>Peak (MW)</t>
  </si>
  <si>
    <t>Table 11</t>
  </si>
  <si>
    <t>GRID Production Cost Model Study</t>
  </si>
  <si>
    <t>Planning Reserve Margin Equivalent in GRID</t>
  </si>
  <si>
    <t>Description</t>
  </si>
  <si>
    <t>-</t>
  </si>
  <si>
    <t>Net System Load</t>
  </si>
  <si>
    <t>Sales</t>
  </si>
  <si>
    <t>System Obligation</t>
  </si>
  <si>
    <t>Operating / Regulating Reserves</t>
  </si>
  <si>
    <t>Thermal Derates</t>
  </si>
  <si>
    <t>Approx Planning Reserves</t>
  </si>
  <si>
    <t>=</t>
  </si>
  <si>
    <t>(g)=(f)/(c)</t>
  </si>
  <si>
    <t>(f)=(d)+(e)</t>
  </si>
  <si>
    <t>(c)=(a)+(b)</t>
  </si>
  <si>
    <t>Approx Planning Reserve Margin</t>
  </si>
  <si>
    <t>Table 12</t>
  </si>
  <si>
    <t>Energy deficit; QF recieves long-run avoided cost</t>
  </si>
  <si>
    <t>Deficit</t>
  </si>
  <si>
    <t>Months / Year</t>
  </si>
  <si>
    <t>2011 IRP Update - Discount Rate</t>
  </si>
  <si>
    <t>(2)  Discount Rate - 2011 IRP Update Discount Rate</t>
  </si>
  <si>
    <t>Note: 2012 is for the period July through December</t>
  </si>
  <si>
    <t xml:space="preserve">    For partial year 2012, capacity is allocated across 4,416 hours</t>
  </si>
  <si>
    <t xml:space="preserve">  Schedule 37 avoided costs approved January 5, 2012</t>
  </si>
  <si>
    <t>Plant Costs  - 2011 IRP Update - [as modeled by PAR]</t>
  </si>
  <si>
    <t xml:space="preserve">  Fixed Pipeline</t>
  </si>
  <si>
    <t>Total Resource Energy Cost</t>
  </si>
  <si>
    <t>Total Resource Costs</t>
  </si>
  <si>
    <t>$/MWh</t>
  </si>
  <si>
    <t>(g)</t>
  </si>
  <si>
    <t>(h)</t>
  </si>
  <si>
    <t>(i)</t>
  </si>
  <si>
    <t xml:space="preserve">  Fixed O&amp;M including Fixed Pipeline &amp; on-going capital cost</t>
  </si>
  <si>
    <t xml:space="preserve">  Fixed O&amp;M &amp; on-going capital [2011 IRP Table 6.1]</t>
  </si>
  <si>
    <t>[Costs as modeled in PAR]</t>
  </si>
  <si>
    <t xml:space="preserve">Deliveries </t>
  </si>
  <si>
    <t xml:space="preserve">During </t>
  </si>
  <si>
    <t>Calendar Year</t>
  </si>
  <si>
    <t>Peak Energy Prices (¢/kWh)</t>
  </si>
  <si>
    <t>Off-Peak Energy Prices (¢/kWh)</t>
  </si>
  <si>
    <t xml:space="preserve">Deliveries During </t>
  </si>
  <si>
    <t xml:space="preserve"> $/kW-Mo</t>
  </si>
  <si>
    <t>All kWh</t>
  </si>
  <si>
    <t>Price (a)</t>
  </si>
  <si>
    <t xml:space="preserve">Capacity </t>
  </si>
  <si>
    <t>Energy Price</t>
  </si>
  <si>
    <t>Company Official Inflation Forecast Dated 2012 March</t>
  </si>
  <si>
    <t xml:space="preserve">  in Docket No. 03-035-14</t>
  </si>
  <si>
    <t>Non-Levelized Prices</t>
  </si>
  <si>
    <t>Levelized Prices</t>
  </si>
  <si>
    <t>Official Forward Price Curve dated May 2012</t>
  </si>
</sst>
</file>

<file path=xl/styles.xml><?xml version="1.0" encoding="utf-8"?>
<styleSheet xmlns="http://schemas.openxmlformats.org/spreadsheetml/2006/main">
  <numFmts count="20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"/>
    <numFmt numFmtId="167" formatCode="&quot;$&quot;#,##0.00"/>
    <numFmt numFmtId="168" formatCode="_(&quot;$&quot;* #,##0.00_);_(&quot;$&quot;* \(#,##0.00\);_(&quot;$&quot;* &quot;-&quot;?_);_(@_)"/>
    <numFmt numFmtId="169" formatCode="0.0%"/>
    <numFmt numFmtId="170" formatCode="_(* #,##0.0_);_(* \(#,##0.0\);_(* &quot;-&quot;??_);_(@_)"/>
    <numFmt numFmtId="171" formatCode="mmm"/>
    <numFmt numFmtId="172" formatCode="&quot;$&quot;###0;[Red]\(&quot;$&quot;###0\)"/>
    <numFmt numFmtId="173" formatCode="_(&quot;$&quot;* #,##0_);_(&quot;$&quot;* \(#,##0\);_(&quot;$&quot;* &quot;-&quot;??_);_(@_)"/>
    <numFmt numFmtId="174" formatCode="_(* #,##0.000_);_(* \(#,##0.000\);_(* &quot;-&quot;_);_(@_)"/>
    <numFmt numFmtId="175" formatCode="&quot;$&quot;#,##0.000_);[Red]\(&quot;$&quot;#,##0.000\)"/>
    <numFmt numFmtId="176" formatCode="_(* #,##0_);[Red]_(* \(#,##0\);_(* &quot;-&quot;_);_(@_)"/>
    <numFmt numFmtId="177" formatCode="_(* #,##0.00_);[Red]_(* \(#,##0.00\);_(* &quot;-&quot;_);_(@_)"/>
    <numFmt numFmtId="178" formatCode="0.000%"/>
  </numFmts>
  <fonts count="25"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/>
      <sz val="10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b/>
      <i/>
      <sz val="8"/>
      <color indexed="18"/>
      <name val="Helv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name val="Times New Roman"/>
      <family val="1"/>
    </font>
    <font>
      <b/>
      <u/>
      <sz val="12"/>
      <name val="Times New Roman"/>
      <family val="1"/>
    </font>
    <font>
      <b/>
      <u/>
      <sz val="10"/>
      <name val="Times New Roman"/>
      <family val="1"/>
    </font>
    <font>
      <u/>
      <sz val="12"/>
      <name val="Times New Roman"/>
      <family val="1"/>
    </font>
    <font>
      <u val="singleAccounting"/>
      <sz val="12"/>
      <name val="Times New Roman"/>
      <family val="1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176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14" fillId="0" borderId="0" applyFont="0" applyFill="0" applyBorder="0" applyProtection="0">
      <alignment horizontal="right"/>
    </xf>
    <xf numFmtId="0" fontId="13" fillId="0" borderId="0" applyNumberFormat="0" applyFill="0" applyBorder="0" applyAlignment="0">
      <protection locked="0"/>
    </xf>
    <xf numFmtId="165" fontId="15" fillId="0" borderId="0" applyNumberFormat="0" applyFill="0" applyBorder="0" applyAlignment="0" applyProtection="0"/>
    <xf numFmtId="0" fontId="16" fillId="0" borderId="1" applyNumberFormat="0" applyBorder="0" applyAlignment="0"/>
    <xf numFmtId="41" fontId="3" fillId="0" borderId="0"/>
    <xf numFmtId="0" fontId="3" fillId="0" borderId="0"/>
    <xf numFmtId="176" fontId="3" fillId="0" borderId="0"/>
    <xf numFmtId="0" fontId="1" fillId="0" borderId="0"/>
    <xf numFmtId="176" fontId="1" fillId="0" borderId="0"/>
    <xf numFmtId="12" fontId="12" fillId="2" borderId="2">
      <alignment horizontal="left"/>
    </xf>
    <xf numFmtId="9" fontId="1" fillId="0" borderId="0" applyFont="0" applyFill="0" applyBorder="0" applyAlignment="0" applyProtection="0"/>
    <xf numFmtId="37" fontId="16" fillId="3" borderId="0" applyNumberFormat="0" applyBorder="0" applyAlignment="0" applyProtection="0"/>
    <xf numFmtId="37" fontId="17" fillId="0" borderId="0"/>
    <xf numFmtId="3" fontId="18" fillId="4" borderId="3" applyProtection="0"/>
    <xf numFmtId="176" fontId="1" fillId="0" borderId="0"/>
  </cellStyleXfs>
  <cellXfs count="282">
    <xf numFmtId="176" fontId="0" fillId="0" borderId="0" xfId="0"/>
    <xf numFmtId="176" fontId="4" fillId="0" borderId="0" xfId="0" applyFont="1" applyFill="1" applyAlignment="1">
      <alignment horizontal="centerContinuous"/>
    </xf>
    <xf numFmtId="176" fontId="11" fillId="0" borderId="0" xfId="0" applyFont="1" applyFill="1" applyAlignment="1">
      <alignment horizontal="centerContinuous"/>
    </xf>
    <xf numFmtId="176" fontId="5" fillId="0" borderId="0" xfId="0" applyFont="1" applyFill="1" applyAlignment="1">
      <alignment horizontal="centerContinuous"/>
    </xf>
    <xf numFmtId="8" fontId="7" fillId="0" borderId="0" xfId="0" applyNumberFormat="1" applyFont="1" applyFill="1" applyAlignment="1">
      <alignment horizontal="center"/>
    </xf>
    <xf numFmtId="176" fontId="8" fillId="0" borderId="0" xfId="0" applyFont="1" applyFill="1"/>
    <xf numFmtId="176" fontId="8" fillId="0" borderId="0" xfId="0" applyFont="1" applyFill="1" applyAlignment="1">
      <alignment horizontal="centerContinuous"/>
    </xf>
    <xf numFmtId="176" fontId="9" fillId="0" borderId="0" xfId="0" applyFont="1" applyFill="1"/>
    <xf numFmtId="176" fontId="4" fillId="0" borderId="0" xfId="0" applyFont="1" applyFill="1" applyBorder="1" applyAlignment="1">
      <alignment horizontal="center"/>
    </xf>
    <xf numFmtId="176" fontId="5" fillId="0" borderId="0" xfId="0" applyFont="1" applyFill="1" applyBorder="1" applyAlignment="1">
      <alignment horizontal="center"/>
    </xf>
    <xf numFmtId="8" fontId="7" fillId="0" borderId="0" xfId="0" applyNumberFormat="1" applyFont="1" applyFill="1" applyAlignment="1">
      <alignment horizontal="centerContinuous"/>
    </xf>
    <xf numFmtId="176" fontId="7" fillId="0" borderId="0" xfId="0" quotePrefix="1" applyFont="1" applyFill="1" applyAlignment="1">
      <alignment horizontal="center"/>
    </xf>
    <xf numFmtId="8" fontId="7" fillId="0" borderId="0" xfId="0" applyNumberFormat="1" applyFont="1" applyFill="1" applyAlignment="1"/>
    <xf numFmtId="176" fontId="2" fillId="0" borderId="0" xfId="0" applyFont="1" applyFill="1" applyBorder="1" applyAlignment="1">
      <alignment horizontal="left"/>
    </xf>
    <xf numFmtId="176" fontId="9" fillId="0" borderId="0" xfId="0" applyFont="1" applyFill="1" applyAlignment="1">
      <alignment horizontal="centerContinuous"/>
    </xf>
    <xf numFmtId="176" fontId="4" fillId="0" borderId="0" xfId="0" applyFont="1" applyFill="1" applyBorder="1" applyAlignment="1">
      <alignment horizontal="centerContinuous"/>
    </xf>
    <xf numFmtId="176" fontId="5" fillId="0" borderId="0" xfId="0" applyFont="1" applyFill="1" applyBorder="1" applyAlignment="1">
      <alignment horizontal="centerContinuous"/>
    </xf>
    <xf numFmtId="8" fontId="7" fillId="0" borderId="0" xfId="0" applyNumberFormat="1" applyFont="1" applyFill="1" applyBorder="1" applyAlignment="1">
      <alignment horizontal="left"/>
    </xf>
    <xf numFmtId="169" fontId="10" fillId="0" borderId="0" xfId="13" applyNumberFormat="1" applyFont="1" applyFill="1"/>
    <xf numFmtId="41" fontId="10" fillId="0" borderId="0" xfId="7" applyFont="1" applyFill="1"/>
    <xf numFmtId="164" fontId="10" fillId="0" borderId="0" xfId="7" applyNumberFormat="1" applyFont="1" applyFill="1"/>
    <xf numFmtId="176" fontId="6" fillId="0" borderId="0" xfId="0" applyFont="1" applyFill="1" applyBorder="1" applyAlignment="1">
      <alignment horizontal="center"/>
    </xf>
    <xf numFmtId="176" fontId="6" fillId="0" borderId="0" xfId="0" quotePrefix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176" fontId="4" fillId="0" borderId="0" xfId="9" applyFont="1" applyFill="1" applyAlignment="1">
      <alignment horizontal="centerContinuous"/>
    </xf>
    <xf numFmtId="176" fontId="2" fillId="0" borderId="4" xfId="9" applyFont="1" applyFill="1" applyBorder="1" applyAlignment="1">
      <alignment horizontal="center"/>
    </xf>
    <xf numFmtId="176" fontId="2" fillId="0" borderId="4" xfId="9" applyFont="1" applyFill="1" applyBorder="1" applyAlignment="1">
      <alignment horizontal="center" wrapText="1"/>
    </xf>
    <xf numFmtId="176" fontId="11" fillId="0" borderId="10" xfId="9" applyFont="1" applyFill="1" applyBorder="1" applyAlignment="1">
      <alignment horizontal="centerContinuous"/>
    </xf>
    <xf numFmtId="176" fontId="19" fillId="0" borderId="10" xfId="9" quotePrefix="1" applyFont="1" applyFill="1" applyBorder="1" applyAlignment="1">
      <alignment horizontal="center" wrapText="1"/>
    </xf>
    <xf numFmtId="176" fontId="19" fillId="0" borderId="10" xfId="9" applyFont="1" applyFill="1" applyBorder="1" applyAlignment="1">
      <alignment horizontal="center" wrapText="1"/>
    </xf>
    <xf numFmtId="176" fontId="6" fillId="0" borderId="0" xfId="9" quotePrefix="1" applyFont="1" applyFill="1" applyBorder="1" applyAlignment="1">
      <alignment horizontal="center"/>
    </xf>
    <xf numFmtId="176" fontId="20" fillId="0" borderId="0" xfId="9" applyFont="1" applyFill="1" applyBorder="1"/>
    <xf numFmtId="176" fontId="2" fillId="0" borderId="19" xfId="9" applyFont="1" applyFill="1" applyBorder="1" applyAlignment="1">
      <alignment horizontal="centerContinuous"/>
    </xf>
    <xf numFmtId="176" fontId="2" fillId="0" borderId="20" xfId="9" applyFont="1" applyFill="1" applyBorder="1" applyAlignment="1">
      <alignment horizontal="centerContinuous"/>
    </xf>
    <xf numFmtId="176" fontId="2" fillId="0" borderId="21" xfId="9" applyFont="1" applyFill="1" applyBorder="1" applyAlignment="1">
      <alignment horizontal="centerContinuous"/>
    </xf>
    <xf numFmtId="41" fontId="2" fillId="0" borderId="20" xfId="7" applyFont="1" applyFill="1" applyBorder="1" applyAlignment="1">
      <alignment horizontal="centerContinuous"/>
    </xf>
    <xf numFmtId="41" fontId="2" fillId="0" borderId="22" xfId="7" applyFont="1" applyFill="1" applyBorder="1" applyAlignment="1">
      <alignment horizontal="centerContinuous"/>
    </xf>
    <xf numFmtId="176" fontId="5" fillId="0" borderId="0" xfId="9" applyFont="1" applyFill="1" applyAlignment="1">
      <alignment horizontal="centerContinuous"/>
    </xf>
    <xf numFmtId="176" fontId="2" fillId="0" borderId="0" xfId="9" applyFont="1" applyFill="1" applyAlignment="1">
      <alignment horizontal="centerContinuous"/>
    </xf>
    <xf numFmtId="176" fontId="2" fillId="0" borderId="11" xfId="9" applyFont="1" applyFill="1" applyBorder="1" applyAlignment="1">
      <alignment horizontal="centerContinuous"/>
    </xf>
    <xf numFmtId="176" fontId="2" fillId="0" borderId="5" xfId="9" applyFont="1" applyFill="1" applyBorder="1" applyAlignment="1">
      <alignment horizontal="centerContinuous"/>
    </xf>
    <xf numFmtId="176" fontId="2" fillId="0" borderId="11" xfId="9" applyFont="1" applyFill="1" applyBorder="1" applyAlignment="1">
      <alignment horizontal="center"/>
    </xf>
    <xf numFmtId="41" fontId="10" fillId="0" borderId="0" xfId="9" applyNumberFormat="1" applyFont="1" applyFill="1"/>
    <xf numFmtId="6" fontId="10" fillId="0" borderId="0" xfId="2" applyNumberFormat="1" applyFont="1" applyFill="1"/>
    <xf numFmtId="8" fontId="10" fillId="0" borderId="0" xfId="2" applyNumberFormat="1" applyFont="1" applyFill="1"/>
    <xf numFmtId="176" fontId="10" fillId="0" borderId="0" xfId="9" applyFont="1" applyFill="1"/>
    <xf numFmtId="43" fontId="10" fillId="0" borderId="0" xfId="2" applyNumberFormat="1" applyFont="1" applyFill="1"/>
    <xf numFmtId="164" fontId="6" fillId="0" borderId="0" xfId="9" applyNumberFormat="1" applyFont="1" applyFill="1" applyAlignment="1">
      <alignment horizontal="right"/>
    </xf>
    <xf numFmtId="176" fontId="2" fillId="0" borderId="8" xfId="9" applyFont="1" applyFill="1" applyBorder="1" applyAlignment="1">
      <alignment horizontal="centerContinuous"/>
    </xf>
    <xf numFmtId="176" fontId="2" fillId="0" borderId="6" xfId="9" applyFont="1" applyFill="1" applyBorder="1" applyAlignment="1">
      <alignment horizontal="center"/>
    </xf>
    <xf numFmtId="176" fontId="2" fillId="0" borderId="10" xfId="9" applyFont="1" applyFill="1" applyBorder="1" applyAlignment="1">
      <alignment horizontal="center"/>
    </xf>
    <xf numFmtId="176" fontId="21" fillId="0" borderId="0" xfId="9" applyFont="1" applyFill="1" applyAlignment="1">
      <alignment horizontal="left"/>
    </xf>
    <xf numFmtId="167" fontId="7" fillId="0" borderId="0" xfId="0" applyNumberFormat="1" applyFont="1" applyFill="1" applyBorder="1" applyAlignment="1">
      <alignment horizontal="center"/>
    </xf>
    <xf numFmtId="176" fontId="6" fillId="0" borderId="10" xfId="0" quotePrefix="1" applyFont="1" applyFill="1" applyBorder="1" applyAlignment="1">
      <alignment horizontal="center"/>
    </xf>
    <xf numFmtId="1" fontId="3" fillId="0" borderId="0" xfId="0" applyNumberFormat="1" applyFont="1" applyFill="1"/>
    <xf numFmtId="41" fontId="10" fillId="0" borderId="0" xfId="9" applyNumberFormat="1" applyFont="1" applyFill="1" applyAlignment="1">
      <alignment horizontal="center"/>
    </xf>
    <xf numFmtId="176" fontId="2" fillId="0" borderId="20" xfId="0" applyFont="1" applyFill="1" applyBorder="1" applyAlignment="1">
      <alignment horizontal="centerContinuous"/>
    </xf>
    <xf numFmtId="176" fontId="2" fillId="0" borderId="23" xfId="0" applyFont="1" applyFill="1" applyBorder="1" applyAlignment="1">
      <alignment horizontal="centerContinuous"/>
    </xf>
    <xf numFmtId="176" fontId="2" fillId="0" borderId="11" xfId="0" applyFont="1" applyFill="1" applyBorder="1" applyAlignment="1">
      <alignment horizontal="center"/>
    </xf>
    <xf numFmtId="176" fontId="2" fillId="0" borderId="19" xfId="0" applyFont="1" applyFill="1" applyBorder="1" applyAlignment="1">
      <alignment horizontal="centerContinuous"/>
    </xf>
    <xf numFmtId="176" fontId="2" fillId="0" borderId="0" xfId="17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176" fontId="2" fillId="0" borderId="4" xfId="0" applyFont="1" applyFill="1" applyBorder="1" applyAlignment="1">
      <alignment horizontal="centerContinuous" wrapText="1"/>
    </xf>
    <xf numFmtId="176" fontId="2" fillId="0" borderId="4" xfId="0" applyFont="1" applyFill="1" applyBorder="1" applyAlignment="1">
      <alignment horizontal="center" wrapText="1"/>
    </xf>
    <xf numFmtId="176" fontId="19" fillId="0" borderId="10" xfId="0" applyFont="1" applyFill="1" applyBorder="1" applyAlignment="1">
      <alignment horizontal="center" wrapText="1"/>
    </xf>
    <xf numFmtId="176" fontId="19" fillId="0" borderId="10" xfId="0" quotePrefix="1" applyFont="1" applyFill="1" applyBorder="1" applyAlignment="1">
      <alignment horizontal="center" wrapText="1"/>
    </xf>
    <xf numFmtId="176" fontId="4" fillId="0" borderId="0" xfId="17" applyFont="1" applyFill="1" applyAlignment="1">
      <alignment horizontal="centerContinuous"/>
    </xf>
    <xf numFmtId="0" fontId="2" fillId="0" borderId="0" xfId="17" applyNumberFormat="1" applyFont="1" applyFill="1" applyBorder="1" applyAlignment="1">
      <alignment horizontal="center"/>
    </xf>
    <xf numFmtId="176" fontId="2" fillId="0" borderId="0" xfId="17" applyFont="1" applyFill="1"/>
    <xf numFmtId="176" fontId="2" fillId="0" borderId="4" xfId="17" applyFont="1" applyFill="1" applyBorder="1" applyAlignment="1">
      <alignment horizontal="center"/>
    </xf>
    <xf numFmtId="0" fontId="2" fillId="0" borderId="13" xfId="17" applyNumberFormat="1" applyFont="1" applyFill="1" applyBorder="1" applyAlignment="1">
      <alignment horizontal="center"/>
    </xf>
    <xf numFmtId="0" fontId="2" fillId="0" borderId="12" xfId="17" applyNumberFormat="1" applyFont="1" applyFill="1" applyBorder="1" applyAlignment="1">
      <alignment horizontal="center"/>
    </xf>
    <xf numFmtId="0" fontId="2" fillId="0" borderId="15" xfId="17" applyNumberFormat="1" applyFont="1" applyFill="1" applyBorder="1" applyAlignment="1">
      <alignment horizontal="center"/>
    </xf>
    <xf numFmtId="0" fontId="2" fillId="0" borderId="4" xfId="17" applyNumberFormat="1" applyFont="1" applyFill="1" applyBorder="1" applyAlignment="1">
      <alignment horizontal="center"/>
    </xf>
    <xf numFmtId="0" fontId="2" fillId="0" borderId="6" xfId="17" applyNumberFormat="1" applyFont="1" applyFill="1" applyBorder="1" applyAlignment="1">
      <alignment horizontal="center"/>
    </xf>
    <xf numFmtId="0" fontId="2" fillId="0" borderId="10" xfId="17" applyNumberFormat="1" applyFont="1" applyFill="1" applyBorder="1" applyAlignment="1">
      <alignment horizontal="center"/>
    </xf>
    <xf numFmtId="8" fontId="7" fillId="0" borderId="0" xfId="0" applyNumberFormat="1" applyFont="1" applyFill="1" applyBorder="1" applyAlignment="1">
      <alignment horizontal="center"/>
    </xf>
    <xf numFmtId="176" fontId="22" fillId="0" borderId="0" xfId="0" applyFont="1" applyFill="1" applyBorder="1" applyAlignment="1">
      <alignment horizontal="centerContinuous"/>
    </xf>
    <xf numFmtId="176" fontId="8" fillId="0" borderId="0" xfId="0" applyFont="1" applyFill="1" applyBorder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6" fontId="23" fillId="0" borderId="0" xfId="0" applyFont="1" applyFill="1" applyBorder="1" applyAlignment="1">
      <alignment horizontal="center"/>
    </xf>
    <xf numFmtId="176" fontId="8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176" fontId="8" fillId="0" borderId="0" xfId="0" applyFont="1" applyFill="1" applyAlignment="1">
      <alignment horizontal="right"/>
    </xf>
    <xf numFmtId="39" fontId="8" fillId="0" borderId="0" xfId="0" applyNumberFormat="1" applyFont="1" applyFill="1" applyBorder="1" applyAlignment="1">
      <alignment horizontal="center"/>
    </xf>
    <xf numFmtId="176" fontId="8" fillId="0" borderId="0" xfId="0" applyFont="1" applyFill="1" applyBorder="1" applyAlignment="1">
      <alignment horizontal="right" vertical="center" wrapText="1"/>
    </xf>
    <xf numFmtId="39" fontId="8" fillId="0" borderId="0" xfId="0" applyNumberFormat="1" applyFont="1" applyFill="1" applyBorder="1" applyAlignment="1">
      <alignment horizontal="center" vertical="center"/>
    </xf>
    <xf numFmtId="176" fontId="23" fillId="0" borderId="0" xfId="0" applyFont="1" applyFill="1" applyAlignment="1">
      <alignment horizontal="center"/>
    </xf>
    <xf numFmtId="8" fontId="8" fillId="0" borderId="0" xfId="0" applyNumberFormat="1" applyFont="1" applyFill="1"/>
    <xf numFmtId="8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8" fontId="8" fillId="0" borderId="0" xfId="0" applyNumberFormat="1" applyFont="1" applyFill="1" applyAlignment="1">
      <alignment horizontal="left"/>
    </xf>
    <xf numFmtId="176" fontId="8" fillId="0" borderId="0" xfId="0" applyFont="1" applyFill="1" applyBorder="1"/>
    <xf numFmtId="0" fontId="2" fillId="0" borderId="18" xfId="17" applyNumberFormat="1" applyFont="1" applyFill="1" applyBorder="1" applyAlignment="1">
      <alignment horizontal="center"/>
    </xf>
    <xf numFmtId="176" fontId="8" fillId="0" borderId="9" xfId="0" applyFont="1" applyFill="1" applyBorder="1" applyAlignment="1"/>
    <xf numFmtId="176" fontId="4" fillId="0" borderId="0" xfId="11" applyFont="1" applyFill="1" applyAlignment="1">
      <alignment horizontal="centerContinuous"/>
    </xf>
    <xf numFmtId="17" fontId="4" fillId="0" borderId="0" xfId="0" quotePrefix="1" applyNumberFormat="1" applyFont="1" applyFill="1" applyAlignment="1">
      <alignment horizontal="centerContinuous"/>
    </xf>
    <xf numFmtId="176" fontId="3" fillId="0" borderId="0" xfId="0" applyFont="1" applyFill="1"/>
    <xf numFmtId="0" fontId="2" fillId="0" borderId="0" xfId="0" applyNumberFormat="1" applyFont="1" applyFill="1" applyAlignment="1">
      <alignment horizontal="center"/>
    </xf>
    <xf numFmtId="176" fontId="3" fillId="0" borderId="0" xfId="11" applyFont="1" applyFill="1"/>
    <xf numFmtId="164" fontId="3" fillId="0" borderId="0" xfId="0" applyNumberFormat="1" applyFont="1" applyFill="1"/>
    <xf numFmtId="164" fontId="10" fillId="0" borderId="0" xfId="0" applyNumberFormat="1" applyFont="1" applyFill="1"/>
    <xf numFmtId="169" fontId="3" fillId="0" borderId="0" xfId="13" applyNumberFormat="1" applyFont="1" applyFill="1"/>
    <xf numFmtId="171" fontId="6" fillId="0" borderId="0" xfId="0" quotePrefix="1" applyNumberFormat="1" applyFont="1" applyFill="1" applyAlignment="1">
      <alignment horizontal="center"/>
    </xf>
    <xf numFmtId="176" fontId="3" fillId="0" borderId="0" xfId="0" applyNumberFormat="1" applyFont="1" applyFill="1"/>
    <xf numFmtId="176" fontId="3" fillId="0" borderId="0" xfId="0" applyFont="1" applyFill="1" applyAlignment="1">
      <alignment horizontal="centerContinuous"/>
    </xf>
    <xf numFmtId="176" fontId="3" fillId="0" borderId="0" xfId="0" applyFont="1" applyFill="1" applyBorder="1" applyAlignment="1">
      <alignment horizontal="center"/>
    </xf>
    <xf numFmtId="176" fontId="3" fillId="0" borderId="0" xfId="0" applyFont="1" applyFill="1" applyAlignment="1">
      <alignment horizontal="center"/>
    </xf>
    <xf numFmtId="9" fontId="3" fillId="0" borderId="0" xfId="13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77" fontId="3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76" fontId="3" fillId="0" borderId="0" xfId="0" applyFont="1" applyFill="1" applyAlignment="1">
      <alignment horizontal="right"/>
    </xf>
    <xf numFmtId="1" fontId="3" fillId="0" borderId="0" xfId="0" applyNumberFormat="1" applyFont="1" applyFill="1" applyAlignment="1">
      <alignment horizontal="center"/>
    </xf>
    <xf numFmtId="39" fontId="3" fillId="0" borderId="0" xfId="0" applyNumberFormat="1" applyFont="1" applyFill="1" applyBorder="1" applyAlignment="1">
      <alignment horizontal="center"/>
    </xf>
    <xf numFmtId="176" fontId="3" fillId="0" borderId="0" xfId="17" applyFont="1" applyFill="1" applyAlignment="1">
      <alignment horizontal="centerContinuous"/>
    </xf>
    <xf numFmtId="176" fontId="3" fillId="0" borderId="0" xfId="9" applyFont="1" applyFill="1"/>
    <xf numFmtId="176" fontId="3" fillId="0" borderId="0" xfId="17" applyFont="1" applyFill="1"/>
    <xf numFmtId="176" fontId="3" fillId="0" borderId="0" xfId="17" applyFont="1" applyFill="1" applyAlignment="1">
      <alignment horizontal="center"/>
    </xf>
    <xf numFmtId="0" fontId="3" fillId="0" borderId="0" xfId="17" applyNumberFormat="1" applyFont="1" applyFill="1" applyAlignment="1">
      <alignment horizontal="center"/>
    </xf>
    <xf numFmtId="0" fontId="3" fillId="0" borderId="0" xfId="17" applyNumberFormat="1" applyFont="1" applyFill="1" applyAlignment="1">
      <alignment horizontal="fill"/>
    </xf>
    <xf numFmtId="176" fontId="3" fillId="0" borderId="9" xfId="17" applyFont="1" applyFill="1" applyBorder="1"/>
    <xf numFmtId="10" fontId="3" fillId="0" borderId="0" xfId="17" applyNumberFormat="1" applyFont="1" applyFill="1"/>
    <xf numFmtId="176" fontId="3" fillId="0" borderId="4" xfId="17" applyFont="1" applyFill="1" applyBorder="1"/>
    <xf numFmtId="164" fontId="3" fillId="0" borderId="4" xfId="17" applyNumberFormat="1" applyFont="1" applyFill="1" applyBorder="1"/>
    <xf numFmtId="176" fontId="3" fillId="0" borderId="18" xfId="17" applyFont="1" applyFill="1" applyBorder="1"/>
    <xf numFmtId="164" fontId="3" fillId="0" borderId="13" xfId="17" applyNumberFormat="1" applyFont="1" applyFill="1" applyBorder="1"/>
    <xf numFmtId="164" fontId="3" fillId="0" borderId="18" xfId="17" applyNumberFormat="1" applyFont="1" applyFill="1" applyBorder="1"/>
    <xf numFmtId="164" fontId="3" fillId="0" borderId="14" xfId="17" applyNumberFormat="1" applyFont="1" applyFill="1" applyBorder="1"/>
    <xf numFmtId="164" fontId="3" fillId="0" borderId="6" xfId="17" applyNumberFormat="1" applyFont="1" applyFill="1" applyBorder="1"/>
    <xf numFmtId="176" fontId="3" fillId="0" borderId="0" xfId="17" applyFont="1" applyFill="1" applyBorder="1"/>
    <xf numFmtId="164" fontId="3" fillId="0" borderId="12" xfId="17" applyNumberFormat="1" applyFont="1" applyFill="1" applyBorder="1"/>
    <xf numFmtId="164" fontId="3" fillId="0" borderId="0" xfId="17" applyNumberFormat="1" applyFont="1" applyFill="1" applyBorder="1"/>
    <xf numFmtId="164" fontId="3" fillId="0" borderId="7" xfId="17" applyNumberFormat="1" applyFont="1" applyFill="1" applyBorder="1"/>
    <xf numFmtId="164" fontId="3" fillId="0" borderId="12" xfId="17" applyNumberFormat="1" applyFont="1" applyFill="1" applyBorder="1" applyAlignment="1">
      <alignment horizontal="centerContinuous"/>
    </xf>
    <xf numFmtId="164" fontId="3" fillId="0" borderId="0" xfId="17" applyNumberFormat="1" applyFont="1" applyFill="1" applyBorder="1" applyAlignment="1">
      <alignment horizontal="centerContinuous"/>
    </xf>
    <xf numFmtId="164" fontId="3" fillId="0" borderId="7" xfId="17" applyNumberFormat="1" applyFont="1" applyFill="1" applyBorder="1" applyAlignment="1">
      <alignment horizontal="centerContinuous"/>
    </xf>
    <xf numFmtId="164" fontId="3" fillId="0" borderId="10" xfId="17" applyNumberFormat="1" applyFont="1" applyFill="1" applyBorder="1"/>
    <xf numFmtId="164" fontId="3" fillId="0" borderId="15" xfId="17" applyNumberFormat="1" applyFont="1" applyFill="1" applyBorder="1" applyAlignment="1">
      <alignment horizontal="centerContinuous"/>
    </xf>
    <xf numFmtId="164" fontId="3" fillId="0" borderId="9" xfId="17" applyNumberFormat="1" applyFont="1" applyFill="1" applyBorder="1" applyAlignment="1">
      <alignment horizontal="centerContinuous"/>
    </xf>
    <xf numFmtId="164" fontId="3" fillId="0" borderId="16" xfId="17" applyNumberFormat="1" applyFont="1" applyFill="1" applyBorder="1" applyAlignment="1">
      <alignment horizontal="centerContinuous"/>
    </xf>
    <xf numFmtId="176" fontId="3" fillId="0" borderId="4" xfId="17" applyFont="1" applyFill="1" applyBorder="1" applyAlignment="1">
      <alignment horizontal="center"/>
    </xf>
    <xf numFmtId="176" fontId="3" fillId="0" borderId="6" xfId="17" applyFont="1" applyFill="1" applyBorder="1" applyAlignment="1">
      <alignment horizontal="center"/>
    </xf>
    <xf numFmtId="176" fontId="3" fillId="0" borderId="10" xfId="17" applyFont="1" applyFill="1" applyBorder="1" applyAlignment="1">
      <alignment horizontal="center"/>
    </xf>
    <xf numFmtId="176" fontId="3" fillId="0" borderId="0" xfId="9" applyFont="1" applyFill="1" applyAlignment="1">
      <alignment horizontal="centerContinuous"/>
    </xf>
    <xf numFmtId="176" fontId="3" fillId="0" borderId="10" xfId="9" applyFont="1" applyFill="1" applyBorder="1"/>
    <xf numFmtId="176" fontId="3" fillId="0" borderId="0" xfId="9" quotePrefix="1" applyFont="1" applyFill="1" applyBorder="1" applyAlignment="1">
      <alignment horizontal="center"/>
    </xf>
    <xf numFmtId="0" fontId="3" fillId="0" borderId="0" xfId="9" applyNumberFormat="1" applyFont="1" applyFill="1" applyAlignment="1">
      <alignment horizontal="center"/>
    </xf>
    <xf numFmtId="167" fontId="3" fillId="0" borderId="0" xfId="9" applyNumberFormat="1" applyFont="1" applyFill="1" applyBorder="1" applyAlignment="1">
      <alignment horizontal="center"/>
    </xf>
    <xf numFmtId="176" fontId="3" fillId="0" borderId="0" xfId="9" applyFont="1" applyFill="1" applyAlignment="1">
      <alignment horizontal="right"/>
    </xf>
    <xf numFmtId="176" fontId="3" fillId="0" borderId="0" xfId="9" applyFont="1" applyFill="1" applyBorder="1" applyAlignment="1">
      <alignment horizontal="center"/>
    </xf>
    <xf numFmtId="176" fontId="3" fillId="0" borderId="0" xfId="9" applyFont="1" applyFill="1" applyBorder="1" applyAlignment="1">
      <alignment horizontal="centerContinuous"/>
    </xf>
    <xf numFmtId="176" fontId="3" fillId="0" borderId="0" xfId="9" applyFont="1" applyFill="1" applyBorder="1"/>
    <xf numFmtId="176" fontId="3" fillId="0" borderId="7" xfId="9" applyFont="1" applyFill="1" applyBorder="1"/>
    <xf numFmtId="0" fontId="3" fillId="0" borderId="0" xfId="9" applyNumberFormat="1" applyFont="1" applyFill="1"/>
    <xf numFmtId="6" fontId="3" fillId="0" borderId="0" xfId="9" applyNumberFormat="1" applyFont="1" applyFill="1" applyAlignment="1">
      <alignment horizontal="right"/>
    </xf>
    <xf numFmtId="8" fontId="3" fillId="0" borderId="0" xfId="9" applyNumberFormat="1" applyFont="1" applyFill="1" applyAlignment="1">
      <alignment horizontal="right"/>
    </xf>
    <xf numFmtId="8" fontId="3" fillId="0" borderId="0" xfId="9" applyNumberFormat="1" applyFont="1" applyFill="1" applyBorder="1" applyAlignment="1">
      <alignment horizontal="right"/>
    </xf>
    <xf numFmtId="166" fontId="3" fillId="0" borderId="0" xfId="9" applyNumberFormat="1" applyFont="1" applyFill="1" applyAlignment="1">
      <alignment horizontal="center"/>
    </xf>
    <xf numFmtId="168" fontId="3" fillId="0" borderId="0" xfId="9" applyNumberFormat="1" applyFont="1" applyFill="1" applyBorder="1"/>
    <xf numFmtId="43" fontId="3" fillId="0" borderId="0" xfId="9" applyNumberFormat="1" applyFont="1" applyFill="1"/>
    <xf numFmtId="8" fontId="3" fillId="0" borderId="0" xfId="9" applyNumberFormat="1" applyFont="1" applyFill="1" applyBorder="1"/>
    <xf numFmtId="0" fontId="3" fillId="0" borderId="0" xfId="9" applyNumberFormat="1" applyFont="1" applyFill="1" applyBorder="1"/>
    <xf numFmtId="166" fontId="3" fillId="0" borderId="0" xfId="9" applyNumberFormat="1" applyFont="1" applyFill="1" applyBorder="1" applyAlignment="1">
      <alignment horizontal="center"/>
    </xf>
    <xf numFmtId="8" fontId="3" fillId="0" borderId="0" xfId="9" applyNumberFormat="1" applyFont="1" applyFill="1" applyBorder="1" applyAlignment="1">
      <alignment horizontal="center"/>
    </xf>
    <xf numFmtId="43" fontId="3" fillId="0" borderId="0" xfId="9" applyNumberFormat="1" applyFont="1" applyFill="1" applyBorder="1"/>
    <xf numFmtId="41" fontId="3" fillId="0" borderId="0" xfId="7" applyFont="1" applyFill="1"/>
    <xf numFmtId="41" fontId="3" fillId="0" borderId="0" xfId="7" applyFont="1" applyFill="1" applyAlignment="1">
      <alignment horizontal="center"/>
    </xf>
    <xf numFmtId="8" fontId="3" fillId="0" borderId="0" xfId="7" applyNumberFormat="1" applyFont="1" applyFill="1" applyBorder="1"/>
    <xf numFmtId="173" fontId="3" fillId="0" borderId="0" xfId="2" applyNumberFormat="1" applyFont="1" applyFill="1"/>
    <xf numFmtId="41" fontId="3" fillId="0" borderId="0" xfId="7" applyFont="1" applyFill="1" applyAlignment="1">
      <alignment horizontal="left"/>
    </xf>
    <xf numFmtId="8" fontId="3" fillId="0" borderId="0" xfId="2" applyNumberFormat="1" applyFont="1" applyFill="1"/>
    <xf numFmtId="178" fontId="3" fillId="0" borderId="0" xfId="7" applyNumberFormat="1" applyFont="1" applyFill="1" applyBorder="1"/>
    <xf numFmtId="9" fontId="3" fillId="0" borderId="0" xfId="9" applyNumberFormat="1" applyFont="1" applyFill="1"/>
    <xf numFmtId="170" fontId="3" fillId="0" borderId="0" xfId="7" applyNumberFormat="1" applyFont="1" applyFill="1"/>
    <xf numFmtId="43" fontId="3" fillId="0" borderId="0" xfId="7" applyNumberFormat="1" applyFont="1" applyFill="1"/>
    <xf numFmtId="164" fontId="3" fillId="0" borderId="0" xfId="7" applyNumberFormat="1" applyFont="1" applyFill="1"/>
    <xf numFmtId="8" fontId="3" fillId="0" borderId="0" xfId="9" applyNumberFormat="1" applyFont="1" applyFill="1"/>
    <xf numFmtId="0" fontId="3" fillId="0" borderId="2" xfId="9" applyNumberFormat="1" applyFont="1" applyFill="1" applyBorder="1"/>
    <xf numFmtId="166" fontId="3" fillId="0" borderId="2" xfId="9" applyNumberFormat="1" applyFont="1" applyFill="1" applyBorder="1" applyAlignment="1">
      <alignment horizontal="center"/>
    </xf>
    <xf numFmtId="8" fontId="3" fillId="0" borderId="2" xfId="9" applyNumberFormat="1" applyFont="1" applyFill="1" applyBorder="1" applyAlignment="1">
      <alignment horizontal="right"/>
    </xf>
    <xf numFmtId="8" fontId="3" fillId="0" borderId="2" xfId="9" applyNumberFormat="1" applyFont="1" applyFill="1" applyBorder="1"/>
    <xf numFmtId="8" fontId="3" fillId="0" borderId="2" xfId="0" applyNumberFormat="1" applyFont="1" applyFill="1" applyBorder="1"/>
    <xf numFmtId="8" fontId="3" fillId="0" borderId="0" xfId="0" applyNumberFormat="1" applyFont="1" applyFill="1" applyBorder="1"/>
    <xf numFmtId="174" fontId="3" fillId="0" borderId="0" xfId="9" applyNumberFormat="1" applyFont="1" applyFill="1"/>
    <xf numFmtId="176" fontId="3" fillId="0" borderId="0" xfId="9" applyFont="1" applyFill="1" applyAlignment="1">
      <alignment horizontal="center"/>
    </xf>
    <xf numFmtId="41" fontId="3" fillId="0" borderId="0" xfId="9" applyNumberFormat="1" applyFont="1" applyFill="1" applyBorder="1"/>
    <xf numFmtId="175" fontId="3" fillId="0" borderId="0" xfId="9" applyNumberFormat="1" applyFont="1" applyFill="1" applyBorder="1"/>
    <xf numFmtId="176" fontId="3" fillId="0" borderId="22" xfId="0" applyFont="1" applyFill="1" applyBorder="1" applyAlignment="1">
      <alignment horizontal="centerContinuous"/>
    </xf>
    <xf numFmtId="41" fontId="3" fillId="0" borderId="0" xfId="9" applyNumberFormat="1" applyFont="1" applyFill="1"/>
    <xf numFmtId="6" fontId="3" fillId="0" borderId="0" xfId="2" applyNumberFormat="1" applyFont="1" applyFill="1"/>
    <xf numFmtId="176" fontId="3" fillId="0" borderId="0" xfId="9" applyFont="1" applyFill="1" applyAlignment="1">
      <alignment horizontal="left"/>
    </xf>
    <xf numFmtId="41" fontId="3" fillId="0" borderId="0" xfId="9" applyNumberFormat="1" applyFont="1" applyFill="1" applyAlignment="1">
      <alignment horizontal="center"/>
    </xf>
    <xf numFmtId="169" fontId="3" fillId="0" borderId="0" xfId="9" applyNumberFormat="1" applyFont="1" applyFill="1"/>
    <xf numFmtId="176" fontId="3" fillId="0" borderId="5" xfId="0" applyFont="1" applyFill="1" applyBorder="1" applyAlignment="1">
      <alignment horizontal="centerContinuous"/>
    </xf>
    <xf numFmtId="176" fontId="3" fillId="0" borderId="17" xfId="0" applyFont="1" applyFill="1" applyBorder="1" applyAlignment="1">
      <alignment horizontal="centerContinuous"/>
    </xf>
    <xf numFmtId="10" fontId="3" fillId="0" borderId="0" xfId="0" applyNumberFormat="1" applyFont="1" applyFill="1" applyBorder="1"/>
    <xf numFmtId="9" fontId="3" fillId="0" borderId="0" xfId="0" applyNumberFormat="1" applyFont="1" applyFill="1"/>
    <xf numFmtId="169" fontId="3" fillId="0" borderId="0" xfId="0" applyNumberFormat="1" applyFont="1" applyFill="1"/>
    <xf numFmtId="43" fontId="3" fillId="0" borderId="0" xfId="1" applyFont="1" applyFill="1"/>
    <xf numFmtId="1" fontId="3" fillId="0" borderId="0" xfId="10" applyNumberFormat="1" applyFont="1" applyFill="1" applyAlignment="1" applyProtection="1">
      <alignment horizontal="center"/>
      <protection locked="0"/>
    </xf>
    <xf numFmtId="176" fontId="3" fillId="0" borderId="0" xfId="0" applyFont="1" applyFill="1" applyBorder="1"/>
    <xf numFmtId="1" fontId="3" fillId="0" borderId="0" xfId="9" applyNumberFormat="1" applyFont="1" applyFill="1"/>
    <xf numFmtId="10" fontId="3" fillId="0" borderId="0" xfId="9" applyNumberFormat="1" applyFont="1" applyFill="1"/>
    <xf numFmtId="176" fontId="3" fillId="0" borderId="4" xfId="0" applyFont="1" applyFill="1" applyBorder="1"/>
    <xf numFmtId="176" fontId="3" fillId="0" borderId="4" xfId="0" applyFont="1" applyFill="1" applyBorder="1" applyAlignment="1">
      <alignment horizontal="centerContinuous"/>
    </xf>
    <xf numFmtId="176" fontId="3" fillId="0" borderId="11" xfId="0" applyFont="1" applyFill="1" applyBorder="1" applyAlignment="1">
      <alignment horizontal="centerContinuous"/>
    </xf>
    <xf numFmtId="176" fontId="3" fillId="0" borderId="12" xfId="0" applyFont="1" applyFill="1" applyBorder="1" applyAlignment="1">
      <alignment horizontal="center"/>
    </xf>
    <xf numFmtId="176" fontId="3" fillId="0" borderId="13" xfId="0" applyFont="1" applyFill="1" applyBorder="1" applyAlignment="1">
      <alignment horizontal="centerContinuous"/>
    </xf>
    <xf numFmtId="176" fontId="3" fillId="0" borderId="14" xfId="0" applyFont="1" applyFill="1" applyBorder="1" applyAlignment="1">
      <alignment horizontal="centerContinuous"/>
    </xf>
    <xf numFmtId="176" fontId="3" fillId="0" borderId="7" xfId="0" applyFont="1" applyFill="1" applyBorder="1" applyAlignment="1">
      <alignment horizontal="center"/>
    </xf>
    <xf numFmtId="176" fontId="3" fillId="0" borderId="6" xfId="0" applyFont="1" applyFill="1" applyBorder="1" applyAlignment="1">
      <alignment horizontal="center"/>
    </xf>
    <xf numFmtId="176" fontId="3" fillId="0" borderId="12" xfId="0" applyFont="1" applyFill="1" applyBorder="1"/>
    <xf numFmtId="17" fontId="3" fillId="0" borderId="12" xfId="0" applyNumberFormat="1" applyFont="1" applyFill="1" applyBorder="1" applyAlignment="1">
      <alignment horizontal="centerContinuous"/>
    </xf>
    <xf numFmtId="17" fontId="3" fillId="0" borderId="7" xfId="0" applyNumberFormat="1" applyFont="1" applyFill="1" applyBorder="1" applyAlignment="1">
      <alignment horizontal="centerContinuous"/>
    </xf>
    <xf numFmtId="17" fontId="3" fillId="0" borderId="7" xfId="0" applyNumberFormat="1" applyFont="1" applyFill="1" applyBorder="1" applyAlignment="1">
      <alignment horizontal="center"/>
    </xf>
    <xf numFmtId="176" fontId="3" fillId="0" borderId="15" xfId="0" applyFont="1" applyFill="1" applyBorder="1"/>
    <xf numFmtId="176" fontId="3" fillId="0" borderId="15" xfId="0" applyFont="1" applyFill="1" applyBorder="1" applyAlignment="1">
      <alignment horizontal="centerContinuous"/>
    </xf>
    <xf numFmtId="176" fontId="3" fillId="0" borderId="16" xfId="0" applyFont="1" applyFill="1" applyBorder="1" applyAlignment="1">
      <alignment horizontal="centerContinuous"/>
    </xf>
    <xf numFmtId="176" fontId="3" fillId="0" borderId="16" xfId="0" applyFont="1" applyFill="1" applyBorder="1" applyAlignment="1">
      <alignment horizontal="center"/>
    </xf>
    <xf numFmtId="176" fontId="3" fillId="0" borderId="10" xfId="0" applyFont="1" applyFill="1" applyBorder="1" applyAlignment="1">
      <alignment horizontal="center"/>
    </xf>
    <xf numFmtId="176" fontId="3" fillId="0" borderId="0" xfId="0" quotePrefix="1" applyFont="1" applyFill="1" applyBorder="1" applyAlignment="1">
      <alignment horizontal="centerContinuous"/>
    </xf>
    <xf numFmtId="176" fontId="3" fillId="0" borderId="0" xfId="0" quotePrefix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center"/>
    </xf>
    <xf numFmtId="176" fontId="3" fillId="0" borderId="0" xfId="0" applyFont="1" applyFill="1" applyAlignment="1">
      <alignment horizontal="left"/>
    </xf>
    <xf numFmtId="178" fontId="3" fillId="0" borderId="0" xfId="0" applyNumberFormat="1" applyFont="1" applyFill="1" applyAlignment="1">
      <alignment horizontal="center"/>
    </xf>
    <xf numFmtId="176" fontId="3" fillId="0" borderId="0" xfId="0" quotePrefix="1" applyFont="1" applyFill="1" applyAlignment="1">
      <alignment horizontal="right"/>
    </xf>
    <xf numFmtId="0" fontId="3" fillId="0" borderId="0" xfId="8" applyFont="1" applyFill="1"/>
    <xf numFmtId="176" fontId="3" fillId="0" borderId="13" xfId="0" applyFont="1" applyFill="1" applyBorder="1" applyAlignment="1">
      <alignment horizontal="center"/>
    </xf>
    <xf numFmtId="176" fontId="3" fillId="0" borderId="4" xfId="0" applyFont="1" applyFill="1" applyBorder="1" applyAlignment="1">
      <alignment horizontal="center"/>
    </xf>
    <xf numFmtId="176" fontId="3" fillId="0" borderId="14" xfId="0" applyFont="1" applyFill="1" applyBorder="1" applyAlignment="1">
      <alignment horizontal="center"/>
    </xf>
    <xf numFmtId="176" fontId="3" fillId="0" borderId="13" xfId="0" applyFont="1" applyFill="1" applyBorder="1"/>
    <xf numFmtId="176" fontId="3" fillId="0" borderId="12" xfId="0" applyFont="1" applyFill="1" applyBorder="1" applyAlignment="1">
      <alignment horizontal="centerContinuous"/>
    </xf>
    <xf numFmtId="176" fontId="3" fillId="0" borderId="6" xfId="0" applyFont="1" applyFill="1" applyBorder="1" applyAlignment="1">
      <alignment horizontal="centerContinuous"/>
    </xf>
    <xf numFmtId="176" fontId="3" fillId="0" borderId="9" xfId="0" applyFont="1" applyFill="1" applyBorder="1" applyAlignment="1">
      <alignment horizontal="centerContinuous"/>
    </xf>
    <xf numFmtId="176" fontId="3" fillId="0" borderId="6" xfId="0" applyFont="1" applyFill="1" applyBorder="1"/>
    <xf numFmtId="176" fontId="3" fillId="0" borderId="7" xfId="0" quotePrefix="1" applyFont="1" applyFill="1" applyBorder="1" applyAlignment="1">
      <alignment horizontal="center"/>
    </xf>
    <xf numFmtId="9" fontId="3" fillId="0" borderId="6" xfId="13" applyFont="1" applyFill="1" applyBorder="1" applyAlignment="1">
      <alignment horizontal="center"/>
    </xf>
    <xf numFmtId="176" fontId="3" fillId="0" borderId="10" xfId="0" applyFont="1" applyFill="1" applyBorder="1"/>
    <xf numFmtId="176" fontId="3" fillId="0" borderId="11" xfId="0" quotePrefix="1" applyFont="1" applyFill="1" applyBorder="1" applyAlignment="1">
      <alignment horizontal="centerContinuous"/>
    </xf>
    <xf numFmtId="176" fontId="3" fillId="0" borderId="8" xfId="0" quotePrefix="1" applyFont="1" applyFill="1" applyBorder="1" applyAlignment="1">
      <alignment horizontal="centerContinuous"/>
    </xf>
    <xf numFmtId="176" fontId="3" fillId="0" borderId="17" xfId="0" applyFont="1" applyFill="1" applyBorder="1" applyAlignment="1">
      <alignment horizontal="center"/>
    </xf>
    <xf numFmtId="176" fontId="3" fillId="0" borderId="10" xfId="0" quotePrefix="1" applyFont="1" applyFill="1" applyBorder="1" applyAlignment="1">
      <alignment horizontal="center"/>
    </xf>
    <xf numFmtId="176" fontId="3" fillId="0" borderId="11" xfId="0" applyFont="1" applyFill="1" applyBorder="1" applyAlignment="1">
      <alignment horizontal="center"/>
    </xf>
    <xf numFmtId="176" fontId="3" fillId="0" borderId="8" xfId="0" applyFont="1" applyFill="1" applyBorder="1" applyAlignment="1">
      <alignment horizontal="centerContinuous"/>
    </xf>
    <xf numFmtId="176" fontId="3" fillId="0" borderId="0" xfId="0" quotePrefix="1" applyFont="1" applyFill="1"/>
    <xf numFmtId="8" fontId="3" fillId="0" borderId="0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Continuous"/>
    </xf>
    <xf numFmtId="0" fontId="3" fillId="0" borderId="13" xfId="0" applyNumberFormat="1" applyFont="1" applyFill="1" applyBorder="1" applyAlignment="1">
      <alignment horizontal="center"/>
    </xf>
    <xf numFmtId="8" fontId="3" fillId="0" borderId="18" xfId="0" applyNumberFormat="1" applyFont="1" applyFill="1" applyBorder="1" applyAlignment="1">
      <alignment horizontal="center"/>
    </xf>
    <xf numFmtId="8" fontId="3" fillId="0" borderId="14" xfId="0" applyNumberFormat="1" applyFont="1" applyFill="1" applyBorder="1" applyAlignment="1">
      <alignment horizontal="center"/>
    </xf>
    <xf numFmtId="167" fontId="3" fillId="0" borderId="18" xfId="0" applyNumberFormat="1" applyFont="1" applyFill="1" applyBorder="1" applyAlignment="1">
      <alignment horizontal="center"/>
    </xf>
    <xf numFmtId="167" fontId="3" fillId="0" borderId="14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8" fontId="3" fillId="0" borderId="7" xfId="0" applyNumberFormat="1" applyFont="1" applyFill="1" applyBorder="1" applyAlignment="1">
      <alignment horizontal="center"/>
    </xf>
    <xf numFmtId="167" fontId="3" fillId="0" borderId="7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8" fontId="3" fillId="0" borderId="9" xfId="0" applyNumberFormat="1" applyFont="1" applyFill="1" applyBorder="1" applyAlignment="1">
      <alignment horizontal="center"/>
    </xf>
    <xf numFmtId="8" fontId="3" fillId="0" borderId="16" xfId="0" applyNumberFormat="1" applyFont="1" applyFill="1" applyBorder="1" applyAlignment="1">
      <alignment horizontal="center"/>
    </xf>
    <xf numFmtId="167" fontId="3" fillId="0" borderId="9" xfId="0" applyNumberFormat="1" applyFont="1" applyFill="1" applyBorder="1" applyAlignment="1">
      <alignment horizontal="center"/>
    </xf>
    <xf numFmtId="167" fontId="3" fillId="0" borderId="16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8" fontId="3" fillId="0" borderId="0" xfId="0" applyNumberFormat="1" applyFont="1" applyFill="1"/>
    <xf numFmtId="176" fontId="3" fillId="0" borderId="0" xfId="0" applyFont="1" applyFill="1" applyBorder="1" applyAlignment="1">
      <alignment horizontal="right"/>
    </xf>
    <xf numFmtId="167" fontId="3" fillId="0" borderId="0" xfId="0" applyNumberFormat="1" applyFont="1" applyFill="1" applyAlignment="1">
      <alignment horizontal="left"/>
    </xf>
    <xf numFmtId="176" fontId="3" fillId="0" borderId="9" xfId="0" applyFont="1" applyFill="1" applyBorder="1" applyAlignment="1">
      <alignment horizontal="center"/>
    </xf>
    <xf numFmtId="176" fontId="3" fillId="0" borderId="0" xfId="0" quotePrefix="1" applyFont="1" applyFill="1" applyBorder="1" applyAlignment="1">
      <alignment horizontal="left"/>
    </xf>
    <xf numFmtId="1" fontId="3" fillId="0" borderId="13" xfId="0" applyNumberFormat="1" applyFont="1" applyFill="1" applyBorder="1" applyAlignment="1">
      <alignment horizontal="center"/>
    </xf>
    <xf numFmtId="8" fontId="3" fillId="0" borderId="13" xfId="0" applyNumberFormat="1" applyFont="1" applyFill="1" applyBorder="1" applyAlignment="1">
      <alignment horizontal="center"/>
    </xf>
    <xf numFmtId="8" fontId="3" fillId="0" borderId="12" xfId="0" applyNumberFormat="1" applyFont="1" applyFill="1" applyBorder="1" applyAlignment="1">
      <alignment horizontal="center"/>
    </xf>
    <xf numFmtId="8" fontId="3" fillId="0" borderId="15" xfId="0" applyNumberFormat="1" applyFont="1" applyFill="1" applyBorder="1" applyAlignment="1">
      <alignment horizontal="center"/>
    </xf>
    <xf numFmtId="176" fontId="3" fillId="0" borderId="18" xfId="0" applyFont="1" applyFill="1" applyBorder="1" applyAlignment="1">
      <alignment horizontal="center"/>
    </xf>
    <xf numFmtId="176" fontId="3" fillId="0" borderId="18" xfId="0" quotePrefix="1" applyFont="1" applyFill="1" applyBorder="1"/>
    <xf numFmtId="176" fontId="3" fillId="0" borderId="18" xfId="0" applyFont="1" applyFill="1" applyBorder="1"/>
    <xf numFmtId="176" fontId="3" fillId="0" borderId="18" xfId="0" applyFont="1" applyFill="1" applyBorder="1" applyAlignment="1">
      <alignment horizontal="left"/>
    </xf>
    <xf numFmtId="176" fontId="3" fillId="0" borderId="0" xfId="0" applyFont="1" applyFill="1" applyBorder="1" applyAlignment="1">
      <alignment horizontal="left"/>
    </xf>
    <xf numFmtId="17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</cellXfs>
  <cellStyles count="18">
    <cellStyle name="Comma" xfId="1" builtinId="3"/>
    <cellStyle name="Currency" xfId="2" builtinId="4"/>
    <cellStyle name="Currency No Comma" xfId="3"/>
    <cellStyle name="Input" xfId="4" builtinId="20" customBuiltin="1"/>
    <cellStyle name="MCP" xfId="5"/>
    <cellStyle name="noninput" xfId="6"/>
    <cellStyle name="Normal" xfId="0" builtinId="0" customBuiltin="1"/>
    <cellStyle name="Normal 2" xfId="17"/>
    <cellStyle name="Normal_DRR AC Study - Utah Valley - 53 MW 90 CF (2.28.2005)" xfId="7"/>
    <cellStyle name="Normal_Or AC 2003 - AC Study - Fuel Indexed Avoided Costs" xfId="8"/>
    <cellStyle name="Normal_OR AC Sch 37 - AC  Study (Gold) _2009 06 19" xfId="9"/>
    <cellStyle name="Normal_T-INF-10-15-04-TEMPLATE" xfId="10"/>
    <cellStyle name="Normal_UT AC Sch 37 - L&amp;R  Study (Gold) _2009 06 19" xfId="11"/>
    <cellStyle name="Password" xfId="12"/>
    <cellStyle name="Percent" xfId="13" builtinId="5"/>
    <cellStyle name="Unprot" xfId="14"/>
    <cellStyle name="Unprot$" xfId="15"/>
    <cellStyle name="Unprotect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\Ut%20AC%202012%20June%20-%20Sch%2037%20Update\Scenario\UT%20Sch%2037%202012%20-%2001a%20-%20L&amp;R%20%20Study%20(GOLD)%20_2012%2006%2027%20-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Data"/>
      <sheetName val="NPC Version Log"/>
      <sheetName val="Summary"/>
      <sheetName val="Thermal Derates"/>
      <sheetName val="Profile"/>
      <sheetName val="Delta"/>
      <sheetName val="L&amp;R"/>
      <sheetName val="Base"/>
      <sheetName val="Check LTC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37 - 07 - Base Case _2012 06 26 (L&amp;R)</v>
          </cell>
        </row>
      </sheetData>
      <sheetData sheetId="1"/>
      <sheetData sheetId="2">
        <row r="5">
          <cell r="C5">
            <v>2012</v>
          </cell>
        </row>
      </sheetData>
      <sheetData sheetId="3">
        <row r="7">
          <cell r="Q7">
            <v>2012</v>
          </cell>
        </row>
      </sheetData>
      <sheetData sheetId="4"/>
      <sheetData sheetId="5"/>
      <sheetData sheetId="6">
        <row r="4">
          <cell r="E4">
            <v>2012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B1:K56"/>
  <sheetViews>
    <sheetView showGridLines="0" view="pageBreakPreview" zoomScale="60" zoomScaleNormal="85" workbookViewId="0">
      <selection activeCell="E68" sqref="E68"/>
    </sheetView>
  </sheetViews>
  <sheetFormatPr defaultColWidth="10.6640625" defaultRowHeight="12.75"/>
  <cols>
    <col min="1" max="1" width="1.83203125" style="100" customWidth="1"/>
    <col min="2" max="2" width="32.5" style="100" customWidth="1"/>
    <col min="3" max="3" width="13.1640625" style="100" customWidth="1"/>
    <col min="4" max="11" width="13.1640625" style="100" bestFit="1" customWidth="1"/>
    <col min="12" max="16384" width="10.6640625" style="100"/>
  </cols>
  <sheetData>
    <row r="1" spans="2:11" ht="15.75">
      <c r="B1" s="96" t="s">
        <v>85</v>
      </c>
      <c r="C1" s="96"/>
      <c r="D1" s="96"/>
      <c r="E1" s="96"/>
      <c r="F1" s="96"/>
      <c r="G1" s="96"/>
      <c r="H1" s="96"/>
      <c r="I1" s="96"/>
      <c r="J1" s="96"/>
      <c r="K1" s="96"/>
    </row>
    <row r="2" spans="2:11" ht="15.75">
      <c r="B2" s="96" t="s">
        <v>130</v>
      </c>
      <c r="C2" s="96"/>
      <c r="D2" s="96"/>
      <c r="E2" s="96"/>
      <c r="F2" s="96"/>
      <c r="G2" s="96"/>
      <c r="H2" s="96"/>
      <c r="I2" s="96"/>
      <c r="J2" s="96"/>
      <c r="K2" s="96"/>
    </row>
    <row r="3" spans="2:11" ht="15.75">
      <c r="B3" s="97" t="str">
        <f>C5&amp;" through "&amp;MAX(5:5)</f>
        <v>2012 through 2020</v>
      </c>
      <c r="C3" s="96"/>
      <c r="D3" s="96"/>
      <c r="E3" s="96"/>
      <c r="F3" s="96"/>
      <c r="G3" s="96"/>
      <c r="H3" s="96"/>
      <c r="I3" s="96"/>
      <c r="J3" s="96"/>
      <c r="K3" s="96"/>
    </row>
    <row r="5" spans="2:11">
      <c r="B5" s="98"/>
      <c r="C5" s="99">
        <v>2012</v>
      </c>
      <c r="D5" s="99">
        <v>2013</v>
      </c>
      <c r="E5" s="99">
        <v>2014</v>
      </c>
      <c r="F5" s="99">
        <v>2015</v>
      </c>
      <c r="G5" s="99">
        <v>2016</v>
      </c>
      <c r="H5" s="99">
        <v>2017</v>
      </c>
      <c r="I5" s="99">
        <v>2018</v>
      </c>
      <c r="J5" s="99">
        <v>2019</v>
      </c>
      <c r="K5" s="99">
        <v>2020</v>
      </c>
    </row>
    <row r="6" spans="2:11">
      <c r="B6" s="58" t="s">
        <v>68</v>
      </c>
      <c r="C6" s="98"/>
      <c r="D6" s="98"/>
      <c r="E6" s="98"/>
      <c r="F6" s="98"/>
      <c r="G6" s="98"/>
      <c r="H6" s="98"/>
      <c r="I6" s="98"/>
      <c r="J6" s="98"/>
      <c r="K6" s="98"/>
    </row>
    <row r="7" spans="2:11">
      <c r="B7" s="98" t="s">
        <v>100</v>
      </c>
      <c r="C7" s="101">
        <v>6713.489093348383</v>
      </c>
      <c r="D7" s="101">
        <v>6863.603835189153</v>
      </c>
      <c r="E7" s="101">
        <v>7025.3391205772823</v>
      </c>
      <c r="F7" s="101">
        <v>7145.4628077918951</v>
      </c>
      <c r="G7" s="101">
        <v>7273.9288929840841</v>
      </c>
      <c r="H7" s="101">
        <v>7502.1070087051348</v>
      </c>
      <c r="I7" s="101">
        <v>7581.5333671526241</v>
      </c>
      <c r="J7" s="101">
        <v>7660.4150908969177</v>
      </c>
      <c r="K7" s="101">
        <v>7730.5137518183274</v>
      </c>
    </row>
    <row r="8" spans="2:11">
      <c r="B8" s="98" t="s">
        <v>101</v>
      </c>
      <c r="C8" s="101">
        <v>406.01214998270223</v>
      </c>
      <c r="D8" s="101">
        <v>174.49700373835617</v>
      </c>
      <c r="E8" s="101">
        <v>176.23701285680366</v>
      </c>
      <c r="F8" s="101">
        <v>136.60081537753427</v>
      </c>
      <c r="G8" s="101">
        <v>136.62759795737708</v>
      </c>
      <c r="H8" s="101">
        <v>121.55506879324201</v>
      </c>
      <c r="I8" s="101">
        <v>111.39716982136989</v>
      </c>
      <c r="J8" s="101">
        <v>111.35956479835617</v>
      </c>
      <c r="K8" s="101">
        <v>111.1767651797359</v>
      </c>
    </row>
    <row r="9" spans="2:11">
      <c r="B9" s="98" t="s">
        <v>111</v>
      </c>
      <c r="C9" s="102">
        <v>835.80066029143893</v>
      </c>
      <c r="D9" s="102">
        <v>23.196347031963469</v>
      </c>
      <c r="E9" s="102">
        <v>0</v>
      </c>
      <c r="F9" s="102">
        <v>2.6940639269406392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</row>
    <row r="10" spans="2:11">
      <c r="B10" s="98" t="s">
        <v>102</v>
      </c>
      <c r="C10" s="101">
        <f t="shared" ref="C10:D10" si="0">SUM(C7:C9)</f>
        <v>7955.3019036225242</v>
      </c>
      <c r="D10" s="101">
        <f t="shared" si="0"/>
        <v>7061.2971859594727</v>
      </c>
      <c r="E10" s="101">
        <f t="shared" ref="E10:F10" si="1">SUM(E7:E9)</f>
        <v>7201.5761334340859</v>
      </c>
      <c r="F10" s="101">
        <f t="shared" si="1"/>
        <v>7284.7576870963703</v>
      </c>
      <c r="G10" s="101">
        <f t="shared" ref="G10:K10" si="2">SUM(G7:G9)</f>
        <v>7410.5564909414616</v>
      </c>
      <c r="H10" s="101">
        <f t="shared" si="2"/>
        <v>7623.6620774983767</v>
      </c>
      <c r="I10" s="101">
        <f t="shared" si="2"/>
        <v>7692.9305369739941</v>
      </c>
      <c r="J10" s="101">
        <f t="shared" si="2"/>
        <v>7771.7746556952743</v>
      </c>
      <c r="K10" s="101">
        <f t="shared" si="2"/>
        <v>7841.6905169980637</v>
      </c>
    </row>
    <row r="11" spans="2:11">
      <c r="B11" s="98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2:11">
      <c r="B12" s="98" t="s">
        <v>103</v>
      </c>
      <c r="C12" s="101">
        <v>750.05805992571322</v>
      </c>
      <c r="D12" s="101">
        <v>835.31453570985616</v>
      </c>
      <c r="E12" s="101">
        <v>856.86487898496659</v>
      </c>
      <c r="F12" s="101">
        <v>861.73928356500653</v>
      </c>
      <c r="G12" s="101">
        <v>761.96154774616946</v>
      </c>
      <c r="H12" s="101">
        <v>827.2650227956276</v>
      </c>
      <c r="I12" s="101">
        <v>827.77554480585582</v>
      </c>
      <c r="J12" s="101">
        <v>821.16214320680558</v>
      </c>
      <c r="K12" s="101">
        <v>817.08755486121936</v>
      </c>
    </row>
    <row r="13" spans="2:11">
      <c r="B13" s="98" t="s">
        <v>112</v>
      </c>
      <c r="C13" s="101">
        <v>653.36168032786895</v>
      </c>
      <c r="D13" s="101">
        <v>58.721461187214615</v>
      </c>
      <c r="E13" s="101">
        <v>5.4337899543378994</v>
      </c>
      <c r="F13" s="101">
        <v>2.6940639269406392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</row>
    <row r="14" spans="2:11">
      <c r="B14" s="98" t="s">
        <v>104</v>
      </c>
      <c r="C14" s="101">
        <v>6390.2918721996093</v>
      </c>
      <c r="D14" s="101">
        <v>6290.0067207340862</v>
      </c>
      <c r="E14" s="101">
        <v>6545.255478476708</v>
      </c>
      <c r="F14" s="101">
        <v>6259.9012770909421</v>
      </c>
      <c r="G14" s="101">
        <v>6432.9947896666527</v>
      </c>
      <c r="H14" s="101">
        <v>6507.4047470722462</v>
      </c>
      <c r="I14" s="101">
        <v>6606.5639949044098</v>
      </c>
      <c r="J14" s="101">
        <v>6666.8062778504154</v>
      </c>
      <c r="K14" s="101">
        <v>6650.5039871828012</v>
      </c>
    </row>
    <row r="15" spans="2:11">
      <c r="B15" s="98" t="s">
        <v>105</v>
      </c>
      <c r="C15" s="101">
        <v>858.47019640502413</v>
      </c>
      <c r="D15" s="101">
        <v>857.14550085495216</v>
      </c>
      <c r="E15" s="101">
        <v>858.52286968403541</v>
      </c>
      <c r="F15" s="101">
        <v>858.13815672301371</v>
      </c>
      <c r="G15" s="101">
        <v>856.98231466206744</v>
      </c>
      <c r="H15" s="101">
        <v>858.14410302438364</v>
      </c>
      <c r="I15" s="101">
        <v>858.14346027917816</v>
      </c>
      <c r="J15" s="101">
        <v>858.14346027643842</v>
      </c>
      <c r="K15" s="101">
        <v>856.98698159376147</v>
      </c>
    </row>
    <row r="16" spans="2:11">
      <c r="B16" s="98" t="s">
        <v>106</v>
      </c>
      <c r="C16" s="102">
        <v>-503.4442328533662</v>
      </c>
      <c r="D16" s="102">
        <v>-498.12787999507839</v>
      </c>
      <c r="E16" s="102">
        <v>-522.98920373642727</v>
      </c>
      <c r="F16" s="102">
        <v>-528.33880049406832</v>
      </c>
      <c r="G16" s="102">
        <v>-531.35414995106225</v>
      </c>
      <c r="H16" s="102">
        <v>-533.20288493171961</v>
      </c>
      <c r="I16" s="102">
        <v>-536.86490822366704</v>
      </c>
      <c r="J16" s="102">
        <v>-557.8087390171363</v>
      </c>
      <c r="K16" s="102">
        <v>-577.85527655645876</v>
      </c>
    </row>
    <row r="17" spans="2:11">
      <c r="B17" s="98" t="s">
        <v>107</v>
      </c>
      <c r="C17" s="101">
        <f t="shared" ref="C17:D17" si="3">SUM(C12:C16)</f>
        <v>8148.737576004849</v>
      </c>
      <c r="D17" s="101">
        <f t="shared" si="3"/>
        <v>7543.0603384910301</v>
      </c>
      <c r="E17" s="101">
        <f t="shared" ref="E17:F17" si="4">SUM(E12:E16)</f>
        <v>7743.0878133636206</v>
      </c>
      <c r="F17" s="101">
        <f t="shared" si="4"/>
        <v>7454.1339808118346</v>
      </c>
      <c r="G17" s="101">
        <f t="shared" ref="G17:K17" si="5">SUM(G12:G16)</f>
        <v>7520.5845021238274</v>
      </c>
      <c r="H17" s="101">
        <f t="shared" si="5"/>
        <v>7659.6109879605374</v>
      </c>
      <c r="I17" s="101">
        <f t="shared" si="5"/>
        <v>7755.6180917657775</v>
      </c>
      <c r="J17" s="101">
        <f t="shared" si="5"/>
        <v>7788.303142316523</v>
      </c>
      <c r="K17" s="101">
        <f t="shared" si="5"/>
        <v>7746.7232470813224</v>
      </c>
    </row>
    <row r="18" spans="2:11" ht="4.5" customHeight="1">
      <c r="B18" s="98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2:11">
      <c r="B19" s="54" t="s">
        <v>108</v>
      </c>
      <c r="C19" s="101">
        <f t="shared" ref="C19:D19" si="6">C17-C10</f>
        <v>193.43567238232481</v>
      </c>
      <c r="D19" s="101">
        <f t="shared" si="6"/>
        <v>481.76315253155735</v>
      </c>
      <c r="E19" s="101">
        <f t="shared" ref="E19:F19" si="7">E17-E10</f>
        <v>541.51167992953469</v>
      </c>
      <c r="F19" s="101">
        <f t="shared" si="7"/>
        <v>169.37629371546427</v>
      </c>
      <c r="G19" s="101">
        <f t="shared" ref="G19:K19" si="8">G17-G10</f>
        <v>110.02801118236584</v>
      </c>
      <c r="H19" s="101">
        <f t="shared" si="8"/>
        <v>35.948910462160711</v>
      </c>
      <c r="I19" s="101">
        <f t="shared" si="8"/>
        <v>62.687554791783441</v>
      </c>
      <c r="J19" s="101">
        <f t="shared" si="8"/>
        <v>16.528486621248703</v>
      </c>
      <c r="K19" s="101">
        <f t="shared" si="8"/>
        <v>-94.967269916741316</v>
      </c>
    </row>
    <row r="20" spans="2:11">
      <c r="B20" s="54" t="s">
        <v>109</v>
      </c>
      <c r="C20" s="103">
        <f>C19/C10</f>
        <v>2.4315315084929963E-2</v>
      </c>
      <c r="D20" s="103">
        <f t="shared" ref="D20" si="9">IF(D10&lt;&gt;0,D19/D10,0)</f>
        <v>6.8225871230782428E-2</v>
      </c>
      <c r="E20" s="103">
        <f t="shared" ref="E20:F20" si="10">IF(E10&lt;&gt;0,E19/E10,0)</f>
        <v>7.519349513164332E-2</v>
      </c>
      <c r="F20" s="103">
        <f t="shared" si="10"/>
        <v>2.3250779365727389E-2</v>
      </c>
      <c r="G20" s="103">
        <f t="shared" ref="G20:K20" si="11">IF(G10&lt;&gt;0,G19/G10,0)</f>
        <v>1.4847469460203457E-2</v>
      </c>
      <c r="H20" s="103">
        <f t="shared" si="11"/>
        <v>4.7154386037473687E-3</v>
      </c>
      <c r="I20" s="103">
        <f t="shared" si="11"/>
        <v>8.1487223224612042E-3</v>
      </c>
      <c r="J20" s="103">
        <f t="shared" si="11"/>
        <v>2.1267326130121871E-3</v>
      </c>
      <c r="K20" s="103">
        <f t="shared" si="11"/>
        <v>-1.2110560817324431E-2</v>
      </c>
    </row>
    <row r="21" spans="2:11">
      <c r="B21" s="98"/>
      <c r="C21" s="98"/>
      <c r="D21" s="98"/>
      <c r="E21" s="98"/>
      <c r="F21" s="98"/>
      <c r="G21" s="98"/>
      <c r="H21" s="98"/>
      <c r="I21" s="98"/>
      <c r="J21" s="98"/>
      <c r="K21" s="98"/>
    </row>
    <row r="22" spans="2:11">
      <c r="B22" s="58" t="s">
        <v>110</v>
      </c>
      <c r="C22" s="104"/>
      <c r="D22" s="104"/>
      <c r="E22" s="104"/>
      <c r="F22" s="104"/>
      <c r="G22" s="104"/>
      <c r="H22" s="104"/>
      <c r="I22" s="104"/>
      <c r="J22" s="104"/>
      <c r="K22" s="104"/>
    </row>
    <row r="23" spans="2:11">
      <c r="B23" s="98" t="s">
        <v>100</v>
      </c>
      <c r="C23" s="101">
        <v>9612.5690357759995</v>
      </c>
      <c r="D23" s="101">
        <v>9809.5613690999999</v>
      </c>
      <c r="E23" s="101">
        <v>10040.732035776</v>
      </c>
      <c r="F23" s="101">
        <v>10200.920035776</v>
      </c>
      <c r="G23" s="101">
        <v>10365.837035776</v>
      </c>
      <c r="H23" s="101">
        <v>10596.911930176</v>
      </c>
      <c r="I23" s="101">
        <v>10705.452035776001</v>
      </c>
      <c r="J23" s="101">
        <v>10800.6493691</v>
      </c>
      <c r="K23" s="101">
        <v>10910.667035775999</v>
      </c>
    </row>
    <row r="24" spans="2:11">
      <c r="B24" s="98" t="s">
        <v>101</v>
      </c>
      <c r="C24" s="101">
        <v>360.37819723699999</v>
      </c>
      <c r="D24" s="101">
        <v>310.35700099999997</v>
      </c>
      <c r="E24" s="101">
        <v>310.35700099999997</v>
      </c>
      <c r="F24" s="101">
        <v>210.357001</v>
      </c>
      <c r="G24" s="101">
        <v>210.357001</v>
      </c>
      <c r="H24" s="101">
        <v>135.357001</v>
      </c>
      <c r="I24" s="101">
        <v>135.357001</v>
      </c>
      <c r="J24" s="101">
        <v>135.357001</v>
      </c>
      <c r="K24" s="101">
        <v>135.357001</v>
      </c>
    </row>
    <row r="25" spans="2:11">
      <c r="B25" s="98" t="str">
        <f>B9</f>
        <v>Short Term Firm Sales</v>
      </c>
      <c r="C25" s="102">
        <v>50</v>
      </c>
      <c r="D25" s="102">
        <v>50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</row>
    <row r="26" spans="2:11">
      <c r="B26" s="98" t="s">
        <v>102</v>
      </c>
      <c r="C26" s="101">
        <f t="shared" ref="C26:D26" si="12">SUM(C23:C25)</f>
        <v>10022.947233012999</v>
      </c>
      <c r="D26" s="101">
        <f t="shared" si="12"/>
        <v>10169.9183701</v>
      </c>
      <c r="E26" s="101">
        <f t="shared" ref="E26:F26" si="13">SUM(E23:E25)</f>
        <v>10351.089036776</v>
      </c>
      <c r="F26" s="101">
        <f t="shared" si="13"/>
        <v>10411.277036776</v>
      </c>
      <c r="G26" s="101">
        <f t="shared" ref="G26:K26" si="14">SUM(G23:G25)</f>
        <v>10576.194036776</v>
      </c>
      <c r="H26" s="101">
        <f t="shared" si="14"/>
        <v>10732.268931176</v>
      </c>
      <c r="I26" s="101">
        <f t="shared" si="14"/>
        <v>10840.809036776001</v>
      </c>
      <c r="J26" s="101">
        <f t="shared" si="14"/>
        <v>10936.0063701</v>
      </c>
      <c r="K26" s="101">
        <f t="shared" si="14"/>
        <v>11046.024036776</v>
      </c>
    </row>
    <row r="27" spans="2:11">
      <c r="B27" s="98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1">
      <c r="B28" s="98" t="s">
        <v>103</v>
      </c>
      <c r="C28" s="101">
        <v>602.48881319900011</v>
      </c>
      <c r="D28" s="101">
        <v>560.43194013515392</v>
      </c>
      <c r="E28" s="101">
        <v>477.35965381265385</v>
      </c>
      <c r="F28" s="101">
        <v>473.79386092015386</v>
      </c>
      <c r="G28" s="101">
        <v>245.17005365400001</v>
      </c>
      <c r="H28" s="101">
        <v>379.34172165400008</v>
      </c>
      <c r="I28" s="101">
        <v>379.34172165400008</v>
      </c>
      <c r="J28" s="101">
        <v>326.95402892015397</v>
      </c>
      <c r="K28" s="101">
        <v>326.95402892015397</v>
      </c>
    </row>
    <row r="29" spans="2:11">
      <c r="B29" s="98" t="str">
        <f>B13</f>
        <v>Short Term Firm Purchase</v>
      </c>
      <c r="C29" s="101">
        <v>87.5</v>
      </c>
      <c r="D29" s="101">
        <v>200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</row>
    <row r="30" spans="2:11">
      <c r="B30" s="98" t="s">
        <v>104</v>
      </c>
      <c r="C30" s="101">
        <v>7730.0846237526894</v>
      </c>
      <c r="D30" s="101">
        <v>7742.6512490016121</v>
      </c>
      <c r="E30" s="101">
        <v>7545.2601634148923</v>
      </c>
      <c r="F30" s="101">
        <v>7089.4956492234141</v>
      </c>
      <c r="G30" s="101">
        <v>7309.1343543302701</v>
      </c>
      <c r="H30" s="101">
        <v>7313.4974108887673</v>
      </c>
      <c r="I30" s="101">
        <v>7095.1180923885931</v>
      </c>
      <c r="J30" s="101">
        <v>7095.1180923885931</v>
      </c>
      <c r="K30" s="101">
        <v>7095.1180923885931</v>
      </c>
    </row>
    <row r="31" spans="2:11">
      <c r="B31" s="98" t="s">
        <v>105</v>
      </c>
      <c r="C31" s="101">
        <v>1204.37619829</v>
      </c>
      <c r="D31" s="101">
        <v>1220.4652543</v>
      </c>
      <c r="E31" s="101">
        <v>1220.4652543</v>
      </c>
      <c r="F31" s="101">
        <v>1220.4652543</v>
      </c>
      <c r="G31" s="101">
        <v>1220.4652543</v>
      </c>
      <c r="H31" s="101">
        <v>1220.4652543</v>
      </c>
      <c r="I31" s="101">
        <v>1220.4652543</v>
      </c>
      <c r="J31" s="101">
        <v>1220.4652543</v>
      </c>
      <c r="K31" s="101">
        <v>1220.4652543</v>
      </c>
    </row>
    <row r="32" spans="2:11">
      <c r="B32" s="98" t="s">
        <v>106</v>
      </c>
      <c r="C32" s="102">
        <v>-391.38408000000004</v>
      </c>
      <c r="D32" s="102">
        <v>-393.82456999999999</v>
      </c>
      <c r="E32" s="102">
        <v>-418.29782999999998</v>
      </c>
      <c r="F32" s="102">
        <v>-411.751105</v>
      </c>
      <c r="G32" s="102">
        <v>-410.64355599999999</v>
      </c>
      <c r="H32" s="102">
        <v>-413.70510000000002</v>
      </c>
      <c r="I32" s="102">
        <v>-406.03279499999996</v>
      </c>
      <c r="J32" s="102">
        <v>-401.59526999999997</v>
      </c>
      <c r="K32" s="102">
        <v>-400.66672</v>
      </c>
    </row>
    <row r="33" spans="2:11">
      <c r="B33" s="98" t="s">
        <v>107</v>
      </c>
      <c r="C33" s="101">
        <f t="shared" ref="C33:D33" si="15">SUM(C28:C32)</f>
        <v>9233.0655552416902</v>
      </c>
      <c r="D33" s="101">
        <f t="shared" si="15"/>
        <v>9329.7238734367638</v>
      </c>
      <c r="E33" s="101">
        <f t="shared" ref="E33:F33" si="16">SUM(E28:E32)</f>
        <v>8824.7872415275469</v>
      </c>
      <c r="F33" s="101">
        <f t="shared" si="16"/>
        <v>8372.0036594435678</v>
      </c>
      <c r="G33" s="101">
        <f t="shared" ref="G33:K33" si="17">SUM(G28:G32)</f>
        <v>8364.1261062842714</v>
      </c>
      <c r="H33" s="101">
        <f t="shared" si="17"/>
        <v>8499.5992868427675</v>
      </c>
      <c r="I33" s="101">
        <f t="shared" si="17"/>
        <v>8288.8922733425934</v>
      </c>
      <c r="J33" s="101">
        <f t="shared" si="17"/>
        <v>8240.9421056087467</v>
      </c>
      <c r="K33" s="101">
        <f t="shared" si="17"/>
        <v>8241.8706556087473</v>
      </c>
    </row>
    <row r="34" spans="2:11" ht="4.5" customHeight="1">
      <c r="B34" s="98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54" t="s">
        <v>108</v>
      </c>
      <c r="C35" s="101">
        <f t="shared" ref="C35:D35" si="18">C33-C26</f>
        <v>-789.88167777130911</v>
      </c>
      <c r="D35" s="101">
        <f t="shared" si="18"/>
        <v>-840.19449666323635</v>
      </c>
      <c r="E35" s="101">
        <f t="shared" ref="E35:F35" si="19">E33-E26</f>
        <v>-1526.3017952484533</v>
      </c>
      <c r="F35" s="101">
        <f t="shared" si="19"/>
        <v>-2039.2733773324326</v>
      </c>
      <c r="G35" s="101">
        <f t="shared" ref="G35:K35" si="20">G33-G26</f>
        <v>-2212.0679304917285</v>
      </c>
      <c r="H35" s="101">
        <f t="shared" si="20"/>
        <v>-2232.669644333233</v>
      </c>
      <c r="I35" s="101">
        <f t="shared" si="20"/>
        <v>-2551.9167634334081</v>
      </c>
      <c r="J35" s="101">
        <f t="shared" si="20"/>
        <v>-2695.0642644912532</v>
      </c>
      <c r="K35" s="101">
        <f t="shared" si="20"/>
        <v>-2804.1533811672525</v>
      </c>
    </row>
    <row r="36" spans="2:11">
      <c r="B36" s="54" t="s">
        <v>109</v>
      </c>
      <c r="C36" s="103">
        <f t="shared" ref="C36:D36" si="21">IF(C26&lt;&gt;0,C35/C26,0)</f>
        <v>-7.8807326768083039E-2</v>
      </c>
      <c r="D36" s="103">
        <f t="shared" si="21"/>
        <v>-8.2615657873267148E-2</v>
      </c>
      <c r="E36" s="103">
        <f t="shared" ref="E36:F36" si="22">IF(E26&lt;&gt;0,E35/E26,0)</f>
        <v>-0.14745325731676273</v>
      </c>
      <c r="F36" s="103">
        <f t="shared" si="22"/>
        <v>-0.19587158905954177</v>
      </c>
      <c r="G36" s="103">
        <f t="shared" ref="G36:K36" si="23">IF(G26&lt;&gt;0,G35/G26,0)</f>
        <v>-0.20915538451732543</v>
      </c>
      <c r="H36" s="103">
        <f t="shared" si="23"/>
        <v>-0.20803333001166099</v>
      </c>
      <c r="I36" s="103">
        <f t="shared" si="23"/>
        <v>-0.23539910672500272</v>
      </c>
      <c r="J36" s="103">
        <f t="shared" si="23"/>
        <v>-0.24643952950318274</v>
      </c>
      <c r="K36" s="103">
        <f t="shared" si="23"/>
        <v>-0.25386087988141842</v>
      </c>
    </row>
    <row r="37" spans="2:11"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2:11">
      <c r="B38" s="58" t="s">
        <v>144</v>
      </c>
      <c r="C38" s="104"/>
      <c r="D38" s="104"/>
      <c r="E38" s="104"/>
      <c r="F38" s="104"/>
      <c r="G38" s="104"/>
      <c r="H38" s="104"/>
      <c r="I38" s="104"/>
      <c r="J38" s="104"/>
      <c r="K38" s="104"/>
    </row>
    <row r="39" spans="2:11">
      <c r="B39" s="98" t="s">
        <v>100</v>
      </c>
      <c r="C39" s="101"/>
      <c r="D39" s="101">
        <v>8583.2717739700001</v>
      </c>
      <c r="E39" s="101">
        <v>8789.6267739699997</v>
      </c>
      <c r="F39" s="101">
        <v>8822.926773969999</v>
      </c>
      <c r="G39" s="101">
        <v>8955.087773969999</v>
      </c>
      <c r="H39" s="101">
        <v>9152.32444063</v>
      </c>
      <c r="I39" s="101">
        <v>9277.9048991700001</v>
      </c>
      <c r="J39" s="101">
        <v>9326.1697739699994</v>
      </c>
      <c r="K39" s="101">
        <v>9433.3777739699999</v>
      </c>
    </row>
    <row r="40" spans="2:11">
      <c r="B40" s="98" t="s">
        <v>101</v>
      </c>
      <c r="C40" s="101"/>
      <c r="D40" s="101">
        <v>260.19973500000003</v>
      </c>
      <c r="E40" s="101">
        <v>260.19973500000003</v>
      </c>
      <c r="F40" s="101">
        <v>160.199735</v>
      </c>
      <c r="G40" s="101">
        <v>160.199735</v>
      </c>
      <c r="H40" s="101">
        <v>160.199735</v>
      </c>
      <c r="I40" s="101">
        <v>135.199735</v>
      </c>
      <c r="J40" s="101">
        <v>135.199735</v>
      </c>
      <c r="K40" s="101">
        <v>135.199735</v>
      </c>
    </row>
    <row r="41" spans="2:11">
      <c r="B41" s="98" t="str">
        <f>B25</f>
        <v>Short Term Firm Sales</v>
      </c>
      <c r="C41" s="102"/>
      <c r="D41" s="102">
        <v>0</v>
      </c>
      <c r="E41" s="102">
        <v>0</v>
      </c>
      <c r="F41" s="102">
        <v>0</v>
      </c>
      <c r="G41" s="102">
        <v>0</v>
      </c>
      <c r="H41" s="102">
        <v>0</v>
      </c>
      <c r="I41" s="102">
        <v>0</v>
      </c>
      <c r="J41" s="102">
        <v>0</v>
      </c>
      <c r="K41" s="102">
        <v>0</v>
      </c>
    </row>
    <row r="42" spans="2:11">
      <c r="B42" s="98" t="s">
        <v>102</v>
      </c>
      <c r="C42" s="101"/>
      <c r="D42" s="101">
        <f t="shared" ref="D42" si="24">SUM(D39:D41)</f>
        <v>8843.4715089700003</v>
      </c>
      <c r="E42" s="101">
        <f t="shared" ref="E42:F42" si="25">SUM(E39:E41)</f>
        <v>9049.8265089699998</v>
      </c>
      <c r="F42" s="101">
        <f t="shared" si="25"/>
        <v>8983.1265089699991</v>
      </c>
      <c r="G42" s="101">
        <f t="shared" ref="G42:K42" si="26">SUM(G39:G41)</f>
        <v>9115.2875089699992</v>
      </c>
      <c r="H42" s="101">
        <f t="shared" si="26"/>
        <v>9312.5241756300002</v>
      </c>
      <c r="I42" s="101">
        <f t="shared" si="26"/>
        <v>9413.1046341700003</v>
      </c>
      <c r="J42" s="101">
        <f t="shared" si="26"/>
        <v>9461.3695089699995</v>
      </c>
      <c r="K42" s="101">
        <f t="shared" si="26"/>
        <v>9568.5775089700001</v>
      </c>
    </row>
    <row r="43" spans="2:11">
      <c r="B43" s="98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98" t="s">
        <v>103</v>
      </c>
      <c r="C44" s="101"/>
      <c r="D44" s="101">
        <v>1649.6421489325385</v>
      </c>
      <c r="E44" s="101">
        <v>1670.8223987325382</v>
      </c>
      <c r="F44" s="101">
        <v>1658.7193240238844</v>
      </c>
      <c r="G44" s="101">
        <v>1606.8234743909998</v>
      </c>
      <c r="H44" s="101">
        <v>1527.3057403190001</v>
      </c>
      <c r="I44" s="101">
        <v>1524.9801820238849</v>
      </c>
      <c r="J44" s="101">
        <v>1478.3793530238847</v>
      </c>
      <c r="K44" s="101">
        <v>1478.3793530238847</v>
      </c>
    </row>
    <row r="45" spans="2:11">
      <c r="B45" s="98" t="str">
        <f>B29</f>
        <v>Short Term Firm Purchase</v>
      </c>
      <c r="C45" s="101"/>
      <c r="D45" s="101">
        <v>0</v>
      </c>
      <c r="E45" s="101">
        <v>0</v>
      </c>
      <c r="F45" s="101">
        <v>0</v>
      </c>
      <c r="G45" s="101">
        <v>0</v>
      </c>
      <c r="H45" s="101">
        <v>0</v>
      </c>
      <c r="I45" s="101">
        <v>0</v>
      </c>
      <c r="J45" s="101">
        <v>0</v>
      </c>
      <c r="K45" s="101">
        <v>0</v>
      </c>
    </row>
    <row r="46" spans="2:11">
      <c r="B46" s="98" t="s">
        <v>104</v>
      </c>
      <c r="C46" s="101"/>
      <c r="D46" s="101">
        <v>7871.8574442824429</v>
      </c>
      <c r="E46" s="101">
        <v>7457.7315409664543</v>
      </c>
      <c r="F46" s="101">
        <v>7001.9670267749771</v>
      </c>
      <c r="G46" s="101">
        <v>6995.6889318818321</v>
      </c>
      <c r="H46" s="101">
        <v>7234.6951884403279</v>
      </c>
      <c r="I46" s="101">
        <v>7233.835874114181</v>
      </c>
      <c r="J46" s="101">
        <v>7233.835874114181</v>
      </c>
      <c r="K46" s="101">
        <v>7233.835874114181</v>
      </c>
    </row>
    <row r="47" spans="2:11">
      <c r="B47" s="98" t="s">
        <v>105</v>
      </c>
      <c r="C47" s="101"/>
      <c r="D47" s="101">
        <v>1469.2489356800002</v>
      </c>
      <c r="E47" s="101">
        <v>1472.36290037</v>
      </c>
      <c r="F47" s="101">
        <v>1472.36290037</v>
      </c>
      <c r="G47" s="101">
        <v>1472.36290037</v>
      </c>
      <c r="H47" s="101">
        <v>1472.36290037</v>
      </c>
      <c r="I47" s="101">
        <v>1472.36290037</v>
      </c>
      <c r="J47" s="101">
        <v>1472.36290037</v>
      </c>
      <c r="K47" s="101">
        <v>1472.36290037</v>
      </c>
    </row>
    <row r="48" spans="2:11">
      <c r="B48" s="98" t="s">
        <v>106</v>
      </c>
      <c r="C48" s="102"/>
      <c r="D48" s="102">
        <v>-400.50940500000002</v>
      </c>
      <c r="E48" s="102">
        <v>-405.94952999999998</v>
      </c>
      <c r="F48" s="102">
        <v>-409.27409499999999</v>
      </c>
      <c r="G48" s="102">
        <v>-409.41566599999999</v>
      </c>
      <c r="H48" s="102">
        <v>-414.75623999999999</v>
      </c>
      <c r="I48" s="102">
        <v>-415.19777499999998</v>
      </c>
      <c r="J48" s="102">
        <v>-411.96284599999996</v>
      </c>
      <c r="K48" s="102">
        <v>-408.32582000000002</v>
      </c>
    </row>
    <row r="49" spans="2:11">
      <c r="B49" s="98" t="s">
        <v>107</v>
      </c>
      <c r="C49" s="101"/>
      <c r="D49" s="101">
        <f t="shared" ref="D49" si="27">SUM(D44:D48)</f>
        <v>10590.23912389498</v>
      </c>
      <c r="E49" s="101">
        <f t="shared" ref="E49:F49" si="28">SUM(E44:E48)</f>
        <v>10194.967310068992</v>
      </c>
      <c r="F49" s="101">
        <f t="shared" si="28"/>
        <v>9723.7751561688619</v>
      </c>
      <c r="G49" s="101">
        <f t="shared" ref="G49:K49" si="29">SUM(G44:G48)</f>
        <v>9665.4596406428318</v>
      </c>
      <c r="H49" s="101">
        <f t="shared" si="29"/>
        <v>9819.6075891293276</v>
      </c>
      <c r="I49" s="101">
        <f t="shared" si="29"/>
        <v>9815.9811815080666</v>
      </c>
      <c r="J49" s="101">
        <f t="shared" si="29"/>
        <v>9772.6152815080659</v>
      </c>
      <c r="K49" s="101">
        <f t="shared" si="29"/>
        <v>9776.2523075080662</v>
      </c>
    </row>
    <row r="50" spans="2:11" ht="4.5" customHeight="1">
      <c r="B50" s="98"/>
      <c r="C50" s="105"/>
      <c r="D50" s="105"/>
      <c r="E50" s="105"/>
      <c r="F50" s="105"/>
      <c r="G50" s="105"/>
      <c r="H50" s="105"/>
      <c r="I50" s="105"/>
      <c r="J50" s="105"/>
      <c r="K50" s="105"/>
    </row>
    <row r="51" spans="2:11">
      <c r="B51" s="54" t="s">
        <v>108</v>
      </c>
      <c r="C51" s="101"/>
      <c r="D51" s="101">
        <f t="shared" ref="D51" si="30">D49-D42</f>
        <v>1746.7676149249801</v>
      </c>
      <c r="E51" s="101">
        <f t="shared" ref="E51:F51" si="31">E49-E42</f>
        <v>1145.1408010989926</v>
      </c>
      <c r="F51" s="101">
        <f t="shared" si="31"/>
        <v>740.64864719886282</v>
      </c>
      <c r="G51" s="101">
        <f t="shared" ref="G51:K51" si="32">G49-G42</f>
        <v>550.17213167283262</v>
      </c>
      <c r="H51" s="101">
        <f t="shared" si="32"/>
        <v>507.08341349932743</v>
      </c>
      <c r="I51" s="101">
        <f t="shared" si="32"/>
        <v>402.8765473380663</v>
      </c>
      <c r="J51" s="101">
        <f t="shared" si="32"/>
        <v>311.24577253806638</v>
      </c>
      <c r="K51" s="101">
        <f t="shared" si="32"/>
        <v>207.67479853806617</v>
      </c>
    </row>
    <row r="52" spans="2:11">
      <c r="B52" s="54" t="s">
        <v>109</v>
      </c>
      <c r="C52" s="103"/>
      <c r="D52" s="103">
        <f t="shared" ref="D52" si="33">IF(D42&lt;&gt;0,D51/D42,0)</f>
        <v>0.19752057923782765</v>
      </c>
      <c r="E52" s="103">
        <f t="shared" ref="E52:F52" si="34">IF(E42&lt;&gt;0,E51/E42,0)</f>
        <v>0.12653732090487624</v>
      </c>
      <c r="F52" s="103">
        <f t="shared" si="34"/>
        <v>8.2448871944450136E-2</v>
      </c>
      <c r="G52" s="103">
        <f t="shared" ref="G52:K52" si="35">IF(G42&lt;&gt;0,G51/G42,0)</f>
        <v>6.0357079371487696E-2</v>
      </c>
      <c r="H52" s="103">
        <f t="shared" si="35"/>
        <v>5.4451768815410653E-2</v>
      </c>
      <c r="I52" s="103">
        <f t="shared" si="35"/>
        <v>4.2799539896285231E-2</v>
      </c>
      <c r="J52" s="103">
        <f t="shared" si="35"/>
        <v>3.2896482083591062E-2</v>
      </c>
      <c r="K52" s="103">
        <f t="shared" si="35"/>
        <v>2.1703831979558382E-2</v>
      </c>
    </row>
    <row r="53" spans="2:11">
      <c r="B53" s="98"/>
      <c r="C53" s="98"/>
      <c r="D53" s="98"/>
      <c r="E53" s="98"/>
      <c r="F53" s="98"/>
      <c r="G53" s="98"/>
      <c r="H53" s="98"/>
      <c r="I53" s="98"/>
      <c r="J53" s="98"/>
      <c r="K53" s="98"/>
    </row>
    <row r="54" spans="2:11">
      <c r="B54" s="98" t="s">
        <v>186</v>
      </c>
      <c r="C54" s="98"/>
      <c r="D54" s="98"/>
      <c r="E54" s="98"/>
      <c r="F54" s="98"/>
      <c r="G54" s="98"/>
      <c r="H54" s="98"/>
      <c r="I54" s="98"/>
      <c r="J54" s="98"/>
      <c r="K54" s="98"/>
    </row>
    <row r="55" spans="2:11">
      <c r="B55" s="104"/>
      <c r="C55" s="98"/>
      <c r="D55" s="98"/>
      <c r="E55" s="98"/>
      <c r="F55" s="98"/>
      <c r="G55" s="98"/>
      <c r="H55" s="98"/>
      <c r="I55" s="98"/>
      <c r="J55" s="98"/>
      <c r="K55" s="98"/>
    </row>
    <row r="56" spans="2:11" hidden="1">
      <c r="B56" s="98" t="s">
        <v>154</v>
      </c>
      <c r="C56" s="98">
        <v>0</v>
      </c>
      <c r="D56" s="98">
        <f t="shared" ref="D56:E56" si="36">C56+13</f>
        <v>13</v>
      </c>
      <c r="E56" s="98">
        <f t="shared" si="36"/>
        <v>26</v>
      </c>
      <c r="F56" s="98">
        <f t="shared" ref="F56" si="37">E56+13</f>
        <v>39</v>
      </c>
      <c r="G56" s="98">
        <f t="shared" ref="G56" si="38">F56+13</f>
        <v>52</v>
      </c>
      <c r="H56" s="98">
        <f t="shared" ref="H56" si="39">G56+13</f>
        <v>65</v>
      </c>
      <c r="I56" s="98">
        <f t="shared" ref="I56" si="40">H56+13</f>
        <v>78</v>
      </c>
      <c r="J56" s="98">
        <f t="shared" ref="J56" si="41">I56+13</f>
        <v>91</v>
      </c>
      <c r="K56" s="98">
        <f t="shared" ref="K56" si="42">J56+13</f>
        <v>104</v>
      </c>
    </row>
  </sheetData>
  <phoneticPr fontId="17" type="noConversion"/>
  <printOptions horizontalCentered="1"/>
  <pageMargins left="0.25" right="0.25" top="0.75" bottom="0.75" header="0.3" footer="0.3"/>
  <pageSetup scale="65" fitToHeight="0" orientation="portrait" r:id="rId1"/>
  <headerFooter alignWithMargins="0">
    <oddFooter>&amp;L&amp;8NPC Group - &amp;F   ( &amp;A )&amp;C &amp;R &amp;8&amp;D 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19" sqref="K19"/>
    </sheetView>
  </sheetViews>
  <sheetFormatPr defaultRowHeight="12.75"/>
  <cols>
    <col min="1" max="16384" width="9.33203125" style="98"/>
  </cols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R57"/>
  <sheetViews>
    <sheetView showGridLines="0" zoomScaleNormal="100" zoomScaleSheetLayoutView="85" workbookViewId="0">
      <pane xSplit="1" ySplit="7" topLeftCell="E8" activePane="bottomRight" state="frozen"/>
      <selection activeCell="K19" sqref="K19"/>
      <selection pane="topRight" activeCell="K19" sqref="K19"/>
      <selection pane="bottomLeft" activeCell="K19" sqref="K19"/>
      <selection pane="bottomRight" activeCell="K19" sqref="K19"/>
    </sheetView>
  </sheetViews>
  <sheetFormatPr defaultRowHeight="15.75"/>
  <cols>
    <col min="1" max="1" width="2.83203125" style="98" customWidth="1"/>
    <col min="2" max="2" width="22.33203125" style="5" customWidth="1"/>
    <col min="3" max="6" width="19.5" style="98" customWidth="1"/>
    <col min="7" max="7" width="15.33203125" style="98" customWidth="1"/>
    <col min="8" max="8" width="15.33203125" style="98" bestFit="1" customWidth="1"/>
    <col min="9" max="9" width="9.33203125" style="98"/>
    <col min="10" max="10" width="19" style="5" customWidth="1"/>
    <col min="11" max="11" width="17.1640625" style="5" customWidth="1"/>
    <col min="12" max="12" width="22" style="5" hidden="1" customWidth="1"/>
    <col min="13" max="13" width="17.1640625" style="5" customWidth="1"/>
    <col min="14" max="14" width="3.5" style="5" customWidth="1"/>
    <col min="15" max="16" width="17.1640625" style="5" customWidth="1"/>
    <col min="17" max="16384" width="9.33203125" style="98"/>
  </cols>
  <sheetData>
    <row r="1" spans="1:16">
      <c r="A1" s="2"/>
      <c r="B1" s="1"/>
      <c r="C1" s="2"/>
      <c r="D1" s="2"/>
      <c r="E1" s="2"/>
      <c r="F1" s="2"/>
      <c r="G1" s="2"/>
      <c r="H1" s="106"/>
      <c r="J1" s="1"/>
      <c r="K1" s="1"/>
      <c r="L1" s="1"/>
      <c r="M1" s="1"/>
    </row>
    <row r="2" spans="1:16">
      <c r="A2" s="3"/>
      <c r="B2" s="1" t="s">
        <v>145</v>
      </c>
      <c r="C2" s="3"/>
      <c r="D2" s="3"/>
      <c r="E2" s="3"/>
      <c r="F2" s="3"/>
      <c r="G2" s="3"/>
      <c r="H2" s="106"/>
      <c r="J2" s="1" t="s">
        <v>145</v>
      </c>
      <c r="K2" s="1"/>
      <c r="L2" s="1"/>
      <c r="M2" s="1"/>
    </row>
    <row r="3" spans="1:16">
      <c r="K3" s="89" t="s">
        <v>74</v>
      </c>
      <c r="L3" s="89"/>
    </row>
    <row r="4" spans="1:16" ht="12" customHeight="1">
      <c r="A4" s="107"/>
      <c r="C4" s="107"/>
      <c r="D4" s="107"/>
      <c r="E4" s="107"/>
      <c r="F4" s="107"/>
      <c r="H4" s="108" t="s">
        <v>75</v>
      </c>
      <c r="K4" s="95" t="s">
        <v>213</v>
      </c>
      <c r="L4" s="95"/>
      <c r="M4" s="95"/>
      <c r="O4" s="95" t="s">
        <v>214</v>
      </c>
      <c r="P4" s="95"/>
    </row>
    <row r="5" spans="1:16" ht="12" customHeight="1">
      <c r="A5" s="107"/>
      <c r="B5" s="78"/>
      <c r="H5" s="109">
        <v>0.85</v>
      </c>
      <c r="J5" s="82" t="s">
        <v>200</v>
      </c>
      <c r="K5" s="82" t="s">
        <v>209</v>
      </c>
      <c r="L5" s="82" t="s">
        <v>29</v>
      </c>
      <c r="M5" s="78" t="s">
        <v>210</v>
      </c>
      <c r="O5" s="82" t="s">
        <v>209</v>
      </c>
      <c r="P5" s="78" t="s">
        <v>210</v>
      </c>
    </row>
    <row r="6" spans="1:16">
      <c r="A6" s="107"/>
      <c r="B6" s="82" t="s">
        <v>205</v>
      </c>
      <c r="C6" s="77" t="s">
        <v>203</v>
      </c>
      <c r="D6" s="77"/>
      <c r="E6" s="77" t="s">
        <v>204</v>
      </c>
      <c r="F6" s="77"/>
      <c r="H6" s="107" t="s">
        <v>77</v>
      </c>
      <c r="J6" s="82" t="s">
        <v>201</v>
      </c>
      <c r="K6" s="82" t="s">
        <v>208</v>
      </c>
      <c r="L6" s="82" t="s">
        <v>76</v>
      </c>
      <c r="M6" s="78" t="s">
        <v>80</v>
      </c>
      <c r="O6" s="82" t="s">
        <v>208</v>
      </c>
      <c r="P6" s="78" t="s">
        <v>80</v>
      </c>
    </row>
    <row r="7" spans="1:16" ht="18">
      <c r="A7" s="107"/>
      <c r="B7" s="82" t="s">
        <v>202</v>
      </c>
      <c r="C7" s="81" t="s">
        <v>65</v>
      </c>
      <c r="D7" s="81" t="s">
        <v>66</v>
      </c>
      <c r="E7" s="81" t="s">
        <v>65</v>
      </c>
      <c r="F7" s="81" t="s">
        <v>66</v>
      </c>
      <c r="H7" s="107" t="s">
        <v>80</v>
      </c>
      <c r="J7" s="88" t="s">
        <v>202</v>
      </c>
      <c r="K7" s="88" t="s">
        <v>206</v>
      </c>
      <c r="L7" s="88" t="s">
        <v>86</v>
      </c>
      <c r="M7" s="88" t="s">
        <v>207</v>
      </c>
      <c r="O7" s="88" t="s">
        <v>206</v>
      </c>
      <c r="P7" s="88" t="s">
        <v>207</v>
      </c>
    </row>
    <row r="8" spans="1:16" ht="12" customHeight="1">
      <c r="A8" s="110"/>
      <c r="B8" s="83">
        <f>+J8</f>
        <v>2012</v>
      </c>
      <c r="C8" s="79">
        <f>ROUND('Table 2'!C48/10,2)</f>
        <v>4.3</v>
      </c>
      <c r="D8" s="79">
        <f>ROUND('Table 2'!G48/10,2)</f>
        <v>4.45</v>
      </c>
      <c r="E8" s="79">
        <f>ROUND('Table 2'!D48/10,2)</f>
        <v>2.35</v>
      </c>
      <c r="F8" s="79">
        <f>ROUND('Table 2'!H48/10,2)</f>
        <v>2.4900000000000002</v>
      </c>
      <c r="H8" s="110">
        <f t="shared" ref="H8:H32" si="0">ROUND((K8*12*100/(8760*$H$5)+M8),2)</f>
        <v>3.59</v>
      </c>
      <c r="I8" s="111"/>
      <c r="J8" s="83">
        <f>'Tables 3 to 6'!B12</f>
        <v>2012</v>
      </c>
      <c r="K8" s="90">
        <f>ROUND(L8/6,2)</f>
        <v>7.24</v>
      </c>
      <c r="L8" s="90">
        <f>+ROUND(INDEX('Tables 3 to 6'!O:O,MATCH(J8,'Tables 3 to 6'!B:B,0)),2)</f>
        <v>43.43</v>
      </c>
      <c r="M8" s="79">
        <f>+ROUND(INDEX('Tables 3 to 6'!P:P,MATCH(J8,'Tables 3 to 6'!B:B,0)),2)/10</f>
        <v>2.419</v>
      </c>
      <c r="O8" s="90">
        <f>-PMT($R$30,COUNT(K8:K27),NPV($R$30,K8:K27))</f>
        <v>10.132741557825351</v>
      </c>
      <c r="P8" s="85">
        <f>-PMT($R$30,COUNT(M8:M27),NPV($R$30,M8:M27))</f>
        <v>3.8975069647570253</v>
      </c>
    </row>
    <row r="9" spans="1:16" ht="12" customHeight="1">
      <c r="A9" s="110"/>
      <c r="B9" s="83">
        <f>B8+1</f>
        <v>2013</v>
      </c>
      <c r="C9" s="79">
        <f>ROUND('Table 2'!C49/10,2)</f>
        <v>3.93</v>
      </c>
      <c r="D9" s="79">
        <f>ROUND('Table 2'!G49/10,2)</f>
        <v>4.28</v>
      </c>
      <c r="E9" s="79">
        <f>ROUND('Table 2'!D49/10,2)</f>
        <v>2.67</v>
      </c>
      <c r="F9" s="79">
        <f>ROUND('Table 2'!H49/10,2)</f>
        <v>3.03</v>
      </c>
      <c r="H9" s="110">
        <f t="shared" si="0"/>
        <v>3.53</v>
      </c>
      <c r="I9" s="111"/>
      <c r="J9" s="83">
        <f>J8+1</f>
        <v>2013</v>
      </c>
      <c r="K9" s="90">
        <f>ROUND(L9/12,2)</f>
        <v>4.6100000000000003</v>
      </c>
      <c r="L9" s="90">
        <f>+ROUND(INDEX('Tables 3 to 6'!O:O,MATCH(J9,'Tables 3 to 6'!B:B,0)),2)</f>
        <v>55.26</v>
      </c>
      <c r="M9" s="79">
        <f>+ROUND(INDEX('Tables 3 to 6'!P:P,MATCH(J9,'Tables 3 to 6'!B:B,0)),2)/10</f>
        <v>2.7920000000000003</v>
      </c>
    </row>
    <row r="10" spans="1:16" ht="12" customHeight="1">
      <c r="A10" s="110"/>
      <c r="B10" s="83">
        <f t="shared" ref="B10:B27" si="1">B9+1</f>
        <v>2014</v>
      </c>
      <c r="C10" s="79">
        <f>ROUND('Table 2'!C50/10,2)</f>
        <v>4.8099999999999996</v>
      </c>
      <c r="D10" s="79">
        <f>ROUND('Table 2'!G50/10,2)</f>
        <v>5.27</v>
      </c>
      <c r="E10" s="79">
        <f>ROUND('Table 2'!D50/10,2)</f>
        <v>2.77</v>
      </c>
      <c r="F10" s="79">
        <f>ROUND('Table 2'!H50/10,2)</f>
        <v>3.23</v>
      </c>
      <c r="H10" s="110">
        <f t="shared" si="0"/>
        <v>4.13</v>
      </c>
      <c r="I10" s="111"/>
      <c r="J10" s="83">
        <f t="shared" ref="J10:J27" si="2">J9+1</f>
        <v>2014</v>
      </c>
      <c r="K10" s="90">
        <f t="shared" ref="K10:K32" si="3">ROUND(L10/12,2)</f>
        <v>7.51</v>
      </c>
      <c r="L10" s="90">
        <f>+ROUND(INDEX('Tables 3 to 6'!O:O,MATCH(J10,'Tables 3 to 6'!B:B,0)),2)</f>
        <v>90.09</v>
      </c>
      <c r="M10" s="79">
        <f>+ROUND(INDEX('Tables 3 to 6'!P:P,MATCH(J10,'Tables 3 to 6'!B:B,0)),2)/10</f>
        <v>2.919</v>
      </c>
    </row>
    <row r="11" spans="1:16" ht="12" customHeight="1">
      <c r="A11" s="110"/>
      <c r="B11" s="83">
        <f t="shared" si="1"/>
        <v>2015</v>
      </c>
      <c r="C11" s="79">
        <f>ROUND('Table 2'!C51/10,2)</f>
        <v>5.08</v>
      </c>
      <c r="D11" s="79">
        <f>ROUND('Table 2'!G51/10,2)</f>
        <v>5.69</v>
      </c>
      <c r="E11" s="79">
        <f>ROUND('Table 2'!D51/10,2)</f>
        <v>3</v>
      </c>
      <c r="F11" s="79">
        <f>ROUND('Table 2'!H51/10,2)</f>
        <v>3.6</v>
      </c>
      <c r="H11" s="110">
        <f t="shared" si="0"/>
        <v>4.43</v>
      </c>
      <c r="I11" s="111"/>
      <c r="J11" s="83">
        <f t="shared" si="2"/>
        <v>2015</v>
      </c>
      <c r="K11" s="90">
        <f t="shared" si="3"/>
        <v>7.66</v>
      </c>
      <c r="L11" s="90">
        <f>+ROUND(INDEX('Tables 3 to 6'!O:O,MATCH(J11,'Tables 3 to 6'!B:B,0)),2)</f>
        <v>91.9</v>
      </c>
      <c r="M11" s="79">
        <f>+ROUND(INDEX('Tables 3 to 6'!P:P,MATCH(J11,'Tables 3 to 6'!B:B,0)),2)/10</f>
        <v>3.1970000000000001</v>
      </c>
    </row>
    <row r="12" spans="1:16" ht="12" customHeight="1">
      <c r="A12" s="110"/>
      <c r="B12" s="83">
        <f t="shared" si="1"/>
        <v>2016</v>
      </c>
      <c r="C12" s="79">
        <f>ROUND('Table 2'!C52/10,2)</f>
        <v>5.62</v>
      </c>
      <c r="D12" s="79">
        <f>ROUND('Table 2'!G52/10,2)</f>
        <v>6.37</v>
      </c>
      <c r="E12" s="79">
        <f>ROUND('Table 2'!D52/10,2)</f>
        <v>3.09</v>
      </c>
      <c r="F12" s="79">
        <f>ROUND('Table 2'!H52/10,2)</f>
        <v>3.84</v>
      </c>
      <c r="H12" s="110">
        <f t="shared" si="0"/>
        <v>4.59</v>
      </c>
      <c r="I12" s="111"/>
      <c r="J12" s="83">
        <f t="shared" si="2"/>
        <v>2016</v>
      </c>
      <c r="K12" s="90">
        <f t="shared" si="3"/>
        <v>7.8</v>
      </c>
      <c r="L12" s="90">
        <f>+ROUND(INDEX('Tables 3 to 6'!O:O,MATCH(J12,'Tables 3 to 6'!B:B,0)),2)</f>
        <v>93.65</v>
      </c>
      <c r="M12" s="79">
        <f>+ROUND(INDEX('Tables 3 to 6'!P:P,MATCH(J12,'Tables 3 to 6'!B:B,0)),2)/10</f>
        <v>3.3369999999999997</v>
      </c>
    </row>
    <row r="13" spans="1:16" ht="12" customHeight="1">
      <c r="A13" s="110"/>
      <c r="B13" s="83">
        <f t="shared" si="1"/>
        <v>2017</v>
      </c>
      <c r="C13" s="79">
        <f>ROUND('Table 2'!C53/10,2)</f>
        <v>3.18</v>
      </c>
      <c r="D13" s="79">
        <f>ROUND('Table 2'!G53/10,2)</f>
        <v>4.08</v>
      </c>
      <c r="E13" s="79">
        <f>ROUND('Table 2'!D53/10,2)</f>
        <v>3.18</v>
      </c>
      <c r="F13" s="79">
        <f>ROUND('Table 2'!H53/10,2)</f>
        <v>4.08</v>
      </c>
      <c r="H13" s="110">
        <f t="shared" si="0"/>
        <v>4.5999999999999996</v>
      </c>
      <c r="I13" s="111"/>
      <c r="J13" s="83">
        <f t="shared" si="2"/>
        <v>2017</v>
      </c>
      <c r="K13" s="90">
        <f t="shared" si="3"/>
        <v>6.96</v>
      </c>
      <c r="L13" s="90">
        <f>+ROUND(INDEX('Tables 3 to 6'!O:O,MATCH(J13,'Tables 3 to 6'!B:B,0)),2)</f>
        <v>83.5</v>
      </c>
      <c r="M13" s="79">
        <f>+ROUND(INDEX('Tables 3 to 6'!P:P,MATCH(J13,'Tables 3 to 6'!B:B,0)),2)/10</f>
        <v>3.4770000000000003</v>
      </c>
    </row>
    <row r="14" spans="1:16" ht="12" customHeight="1">
      <c r="A14" s="110"/>
      <c r="B14" s="83">
        <f t="shared" si="1"/>
        <v>2018</v>
      </c>
      <c r="C14" s="79">
        <f>ROUND('Table 2'!C54/10,2)</f>
        <v>3.46</v>
      </c>
      <c r="D14" s="79">
        <f>ROUND('Table 2'!G54/10,2)</f>
        <v>4.83</v>
      </c>
      <c r="E14" s="79">
        <f>ROUND('Table 2'!D54/10,2)</f>
        <v>3.46</v>
      </c>
      <c r="F14" s="79">
        <f>ROUND('Table 2'!H54/10,2)</f>
        <v>4.83</v>
      </c>
      <c r="H14" s="110">
        <f t="shared" si="0"/>
        <v>5.39</v>
      </c>
      <c r="I14" s="111"/>
      <c r="J14" s="83">
        <f t="shared" si="2"/>
        <v>2018</v>
      </c>
      <c r="K14" s="90">
        <f t="shared" si="3"/>
        <v>9.1199999999999992</v>
      </c>
      <c r="L14" s="90">
        <f>+ROUND(INDEX('Tables 3 to 6'!O:O,MATCH(J14,'Tables 3 to 6'!B:B,0)),2)</f>
        <v>109.4</v>
      </c>
      <c r="M14" s="79">
        <f>+ROUND(INDEX('Tables 3 to 6'!P:P,MATCH(J14,'Tables 3 to 6'!B:B,0)),2)/10</f>
        <v>3.9189999999999996</v>
      </c>
    </row>
    <row r="15" spans="1:16" ht="12" customHeight="1">
      <c r="A15" s="110"/>
      <c r="B15" s="83">
        <f t="shared" si="1"/>
        <v>2019</v>
      </c>
      <c r="C15" s="79">
        <f>ROUND('Table 2'!C55/10,2)</f>
        <v>7.37</v>
      </c>
      <c r="D15" s="79">
        <f>ROUND('Table 2'!G55/10,2)</f>
        <v>9.06</v>
      </c>
      <c r="E15" s="79">
        <f>ROUND('Table 2'!D55/10,2)</f>
        <v>3.93</v>
      </c>
      <c r="F15" s="79">
        <f>ROUND('Table 2'!H55/10,2)</f>
        <v>5.63</v>
      </c>
      <c r="H15" s="110">
        <f t="shared" si="0"/>
        <v>4.83</v>
      </c>
      <c r="I15" s="111"/>
      <c r="J15" s="83">
        <f t="shared" si="2"/>
        <v>2019</v>
      </c>
      <c r="K15" s="90">
        <f t="shared" si="3"/>
        <v>9.2799999999999994</v>
      </c>
      <c r="L15" s="90">
        <f>+ROUND(INDEX('Tables 3 to 6'!O:O,MATCH(J15,'Tables 3 to 6'!B:B,0)),2)</f>
        <v>111.36</v>
      </c>
      <c r="M15" s="79">
        <f>+ROUND(INDEX('Tables 3 to 6'!P:P,MATCH(J15,'Tables 3 to 6'!B:B,0)),2)/10</f>
        <v>3.3369999999999997</v>
      </c>
    </row>
    <row r="16" spans="1:16" ht="12" customHeight="1">
      <c r="A16" s="110"/>
      <c r="B16" s="83">
        <f t="shared" si="1"/>
        <v>2020</v>
      </c>
      <c r="C16" s="80">
        <f>+ROUND(INDEX('Tables 3 to 6'!Y:Y,MATCH(B16,'Tables 3 to 6'!B:B,0))/10,2)</f>
        <v>7.49</v>
      </c>
      <c r="D16" s="80">
        <f t="shared" ref="D16" si="4">+C16</f>
        <v>7.49</v>
      </c>
      <c r="E16" s="80">
        <f>+ROUND(INDEX('Tables 3 to 6'!Z:Z,MATCH(B16,'Tables 3 to 6'!B:B,0))/10,2)</f>
        <v>4.05</v>
      </c>
      <c r="F16" s="80">
        <f t="shared" ref="F16:F32" si="5">E16</f>
        <v>4.05</v>
      </c>
      <c r="H16" s="110">
        <f t="shared" si="0"/>
        <v>6.09</v>
      </c>
      <c r="I16" s="111"/>
      <c r="J16" s="83">
        <f t="shared" si="2"/>
        <v>2020</v>
      </c>
      <c r="K16" s="90">
        <f t="shared" si="3"/>
        <v>12.61</v>
      </c>
      <c r="L16" s="90">
        <f>+ROUND(INDEX('Tables 3 to 6'!O:O,MATCH(J16,'Tables 3 to 6'!B:B,0)),2)</f>
        <v>151.31</v>
      </c>
      <c r="M16" s="79">
        <f>+ROUND(INDEX('Tables 3 to 6'!P:P,MATCH(J16,'Tables 3 to 6'!B:B,0)),2)/10</f>
        <v>4.0540000000000003</v>
      </c>
    </row>
    <row r="17" spans="1:18" ht="12" customHeight="1">
      <c r="A17" s="110"/>
      <c r="B17" s="83">
        <f t="shared" si="1"/>
        <v>2021</v>
      </c>
      <c r="C17" s="80">
        <f>+ROUND(INDEX('Tables 3 to 6'!Y:Y,MATCH(B17,'Tables 3 to 6'!B:B,0))/10,2)</f>
        <v>7.78</v>
      </c>
      <c r="D17" s="80">
        <f t="shared" ref="D17" si="6">+C17</f>
        <v>7.78</v>
      </c>
      <c r="E17" s="80">
        <f>+ROUND(INDEX('Tables 3 to 6'!Z:Z,MATCH(B17,'Tables 3 to 6'!B:B,0))/10,2)</f>
        <v>4.29</v>
      </c>
      <c r="F17" s="80">
        <f t="shared" si="5"/>
        <v>4.29</v>
      </c>
      <c r="H17" s="110">
        <f t="shared" si="0"/>
        <v>6.36</v>
      </c>
      <c r="I17" s="111"/>
      <c r="J17" s="83">
        <f t="shared" si="2"/>
        <v>2021</v>
      </c>
      <c r="K17" s="90">
        <f t="shared" si="3"/>
        <v>12.84</v>
      </c>
      <c r="L17" s="90">
        <f>+ROUND(INDEX('Tables 3 to 6'!O:O,MATCH(J17,'Tables 3 to 6'!B:B,0)),2)</f>
        <v>154.02000000000001</v>
      </c>
      <c r="M17" s="79">
        <f>+ROUND(INDEX('Tables 3 to 6'!P:P,MATCH(J17,'Tables 3 to 6'!B:B,0)),2)/10</f>
        <v>4.2859999999999996</v>
      </c>
    </row>
    <row r="18" spans="1:18" ht="12" customHeight="1">
      <c r="A18" s="110"/>
      <c r="B18" s="83">
        <f t="shared" si="1"/>
        <v>2022</v>
      </c>
      <c r="C18" s="80">
        <f>+ROUND(INDEX('Tables 3 to 6'!Y:Y,MATCH(B18,'Tables 3 to 6'!B:B,0))/10,2)</f>
        <v>8.27</v>
      </c>
      <c r="D18" s="80">
        <f>+C18</f>
        <v>8.27</v>
      </c>
      <c r="E18" s="80">
        <f>+ROUND(INDEX('Tables 3 to 6'!Z:Z,MATCH(B18,'Tables 3 to 6'!B:B,0))/10,2)</f>
        <v>4.71</v>
      </c>
      <c r="F18" s="80">
        <f t="shared" si="5"/>
        <v>4.71</v>
      </c>
      <c r="H18" s="110">
        <f t="shared" si="0"/>
        <v>6.81</v>
      </c>
      <c r="I18" s="111"/>
      <c r="J18" s="83">
        <f t="shared" si="2"/>
        <v>2022</v>
      </c>
      <c r="K18" s="90">
        <f t="shared" si="3"/>
        <v>13.06</v>
      </c>
      <c r="L18" s="90">
        <f>+ROUND(INDEX('Tables 3 to 6'!O:O,MATCH(J18,'Tables 3 to 6'!B:B,0)),2)</f>
        <v>156.77000000000001</v>
      </c>
      <c r="M18" s="79">
        <f>+ROUND(INDEX('Tables 3 to 6'!P:P,MATCH(J18,'Tables 3 to 6'!B:B,0)),2)/10</f>
        <v>4.7080000000000002</v>
      </c>
    </row>
    <row r="19" spans="1:18" ht="12" customHeight="1">
      <c r="A19" s="110"/>
      <c r="B19" s="83">
        <f t="shared" si="1"/>
        <v>2023</v>
      </c>
      <c r="C19" s="80">
        <f>+ROUND(INDEX('Tables 3 to 6'!Y:Y,MATCH(B19,'Tables 3 to 6'!B:B,0))/10,2)</f>
        <v>8.48</v>
      </c>
      <c r="D19" s="79">
        <f t="shared" ref="D19:D32" si="7">+C19</f>
        <v>8.48</v>
      </c>
      <c r="E19" s="80">
        <f>+ROUND(INDEX('Tables 3 to 6'!Z:Z,MATCH(B19,'Tables 3 to 6'!B:B,0))/10,2)</f>
        <v>4.8600000000000003</v>
      </c>
      <c r="F19" s="80">
        <f t="shared" si="5"/>
        <v>4.8600000000000003</v>
      </c>
      <c r="H19" s="110">
        <f t="shared" si="0"/>
        <v>7</v>
      </c>
      <c r="I19" s="111"/>
      <c r="J19" s="83">
        <f t="shared" si="2"/>
        <v>2023</v>
      </c>
      <c r="K19" s="90">
        <f t="shared" si="3"/>
        <v>13.3</v>
      </c>
      <c r="L19" s="90">
        <f>+ROUND(INDEX('Tables 3 to 6'!O:O,MATCH(J19,'Tables 3 to 6'!B:B,0)),2)</f>
        <v>159.6</v>
      </c>
      <c r="M19" s="79">
        <f>+ROUND(INDEX('Tables 3 to 6'!P:P,MATCH(J19,'Tables 3 to 6'!B:B,0)),2)/10</f>
        <v>4.8570000000000002</v>
      </c>
    </row>
    <row r="20" spans="1:18" ht="12" customHeight="1">
      <c r="A20" s="110"/>
      <c r="B20" s="83">
        <f t="shared" si="1"/>
        <v>2024</v>
      </c>
      <c r="C20" s="80">
        <f>+ROUND(INDEX('Tables 3 to 6'!Y:Y,MATCH(B20,'Tables 3 to 6'!B:B,0))/10,2)</f>
        <v>8.4600000000000009</v>
      </c>
      <c r="D20" s="79">
        <f t="shared" si="7"/>
        <v>8.4600000000000009</v>
      </c>
      <c r="E20" s="80">
        <f>+ROUND(INDEX('Tables 3 to 6'!Z:Z,MATCH(B20,'Tables 3 to 6'!B:B,0))/10,2)</f>
        <v>4.7699999999999996</v>
      </c>
      <c r="F20" s="80">
        <f t="shared" si="5"/>
        <v>4.7699999999999996</v>
      </c>
      <c r="H20" s="110">
        <f t="shared" si="0"/>
        <v>6.96</v>
      </c>
      <c r="I20" s="111"/>
      <c r="J20" s="83">
        <f t="shared" si="2"/>
        <v>2024</v>
      </c>
      <c r="K20" s="90">
        <f t="shared" si="3"/>
        <v>13.54</v>
      </c>
      <c r="L20" s="90">
        <f>+ROUND(INDEX('Tables 3 to 6'!O:O,MATCH(J20,'Tables 3 to 6'!B:B,0)),2)</f>
        <v>162.47999999999999</v>
      </c>
      <c r="M20" s="79">
        <f>+ROUND(INDEX('Tables 3 to 6'!P:P,MATCH(J20,'Tables 3 to 6'!B:B,0)),2)/10</f>
        <v>4.7729999999999997</v>
      </c>
      <c r="R20" s="92"/>
    </row>
    <row r="21" spans="1:18" ht="12" customHeight="1">
      <c r="A21" s="110"/>
      <c r="B21" s="83">
        <f t="shared" si="1"/>
        <v>2025</v>
      </c>
      <c r="C21" s="80">
        <f>+ROUND(INDEX('Tables 3 to 6'!Y:Y,MATCH(B21,'Tables 3 to 6'!B:B,0))/10,2)</f>
        <v>8.66</v>
      </c>
      <c r="D21" s="79">
        <f t="shared" si="7"/>
        <v>8.66</v>
      </c>
      <c r="E21" s="80">
        <f>+ROUND(INDEX('Tables 3 to 6'!Z:Z,MATCH(B21,'Tables 3 to 6'!B:B,0))/10,2)</f>
        <v>4.91</v>
      </c>
      <c r="F21" s="80">
        <f t="shared" si="5"/>
        <v>4.91</v>
      </c>
      <c r="H21" s="110">
        <f t="shared" si="0"/>
        <v>7.13</v>
      </c>
      <c r="I21" s="111"/>
      <c r="J21" s="83">
        <f t="shared" si="2"/>
        <v>2025</v>
      </c>
      <c r="K21" s="90">
        <f t="shared" si="3"/>
        <v>13.78</v>
      </c>
      <c r="L21" s="90">
        <f>+ROUND(INDEX('Tables 3 to 6'!O:O,MATCH(J21,'Tables 3 to 6'!B:B,0)),2)</f>
        <v>165.4</v>
      </c>
      <c r="M21" s="79">
        <f>+ROUND(INDEX('Tables 3 to 6'!P:P,MATCH(J21,'Tables 3 to 6'!B:B,0)),2)/10</f>
        <v>4.907</v>
      </c>
    </row>
    <row r="22" spans="1:18" ht="12" customHeight="1">
      <c r="A22" s="110"/>
      <c r="B22" s="83">
        <f t="shared" si="1"/>
        <v>2026</v>
      </c>
      <c r="C22" s="80">
        <f>+ROUND(INDEX('Tables 3 to 6'!Y:Y,MATCH(B22,'Tables 3 to 6'!B:B,0))/10,2)</f>
        <v>9.01</v>
      </c>
      <c r="D22" s="79">
        <f t="shared" si="7"/>
        <v>9.01</v>
      </c>
      <c r="E22" s="80">
        <f>+ROUND(INDEX('Tables 3 to 6'!Z:Z,MATCH(B22,'Tables 3 to 6'!B:B,0))/10,2)</f>
        <v>5.19</v>
      </c>
      <c r="F22" s="80">
        <f t="shared" si="5"/>
        <v>5.19</v>
      </c>
      <c r="H22" s="110">
        <f t="shared" si="0"/>
        <v>7.45</v>
      </c>
      <c r="I22" s="111"/>
      <c r="J22" s="83">
        <f t="shared" si="2"/>
        <v>2026</v>
      </c>
      <c r="K22" s="90">
        <f t="shared" si="3"/>
        <v>14.03</v>
      </c>
      <c r="L22" s="90">
        <f>+ROUND(INDEX('Tables 3 to 6'!O:O,MATCH(J22,'Tables 3 to 6'!B:B,0)),2)</f>
        <v>168.38</v>
      </c>
      <c r="M22" s="79">
        <f>+ROUND(INDEX('Tables 3 to 6'!P:P,MATCH(J22,'Tables 3 to 6'!B:B,0)),2)/10</f>
        <v>5.1890000000000001</v>
      </c>
    </row>
    <row r="23" spans="1:18" ht="12" customHeight="1">
      <c r="A23" s="110"/>
      <c r="B23" s="83">
        <f t="shared" si="1"/>
        <v>2027</v>
      </c>
      <c r="C23" s="80">
        <f>+ROUND(INDEX('Tables 3 to 6'!Y:Y,MATCH(B23,'Tables 3 to 6'!B:B,0))/10,2)</f>
        <v>9.27</v>
      </c>
      <c r="D23" s="79">
        <f t="shared" si="7"/>
        <v>9.27</v>
      </c>
      <c r="E23" s="80">
        <f>+ROUND(INDEX('Tables 3 to 6'!Z:Z,MATCH(B23,'Tables 3 to 6'!B:B,0))/10,2)</f>
        <v>5.37</v>
      </c>
      <c r="F23" s="80">
        <f t="shared" si="5"/>
        <v>5.37</v>
      </c>
      <c r="H23" s="110">
        <f t="shared" si="0"/>
        <v>7.68</v>
      </c>
      <c r="I23" s="111"/>
      <c r="J23" s="83">
        <f t="shared" si="2"/>
        <v>2027</v>
      </c>
      <c r="K23" s="90">
        <f t="shared" si="3"/>
        <v>14.3</v>
      </c>
      <c r="L23" s="90">
        <f>+ROUND(INDEX('Tables 3 to 6'!O:O,MATCH(J23,'Tables 3 to 6'!B:B,0)),2)</f>
        <v>171.59</v>
      </c>
      <c r="M23" s="79">
        <f>+ROUND(INDEX('Tables 3 to 6'!P:P,MATCH(J23,'Tables 3 to 6'!B:B,0)),2)/10</f>
        <v>5.3729999999999993</v>
      </c>
    </row>
    <row r="24" spans="1:18" ht="12" customHeight="1">
      <c r="A24" s="110"/>
      <c r="B24" s="83">
        <f t="shared" si="1"/>
        <v>2028</v>
      </c>
      <c r="C24" s="80">
        <f>+ROUND(INDEX('Tables 3 to 6'!Y:Y,MATCH(B24,'Tables 3 to 6'!B:B,0))/10,2)</f>
        <v>9.4600000000000009</v>
      </c>
      <c r="D24" s="79">
        <f t="shared" si="7"/>
        <v>9.4600000000000009</v>
      </c>
      <c r="E24" s="80">
        <f>+ROUND(INDEX('Tables 3 to 6'!Z:Z,MATCH(B24,'Tables 3 to 6'!B:B,0))/10,2)</f>
        <v>5.49</v>
      </c>
      <c r="F24" s="80">
        <f t="shared" si="5"/>
        <v>5.49</v>
      </c>
      <c r="H24" s="110">
        <f t="shared" si="0"/>
        <v>7.83</v>
      </c>
      <c r="I24" s="111"/>
      <c r="J24" s="83">
        <f t="shared" si="2"/>
        <v>2028</v>
      </c>
      <c r="K24" s="90">
        <f t="shared" si="3"/>
        <v>14.57</v>
      </c>
      <c r="L24" s="90">
        <f>+ROUND(INDEX('Tables 3 to 6'!O:O,MATCH(J24,'Tables 3 to 6'!B:B,0)),2)</f>
        <v>174.85</v>
      </c>
      <c r="M24" s="79">
        <f>+ROUND(INDEX('Tables 3 to 6'!P:P,MATCH(J24,'Tables 3 to 6'!B:B,0)),2)/10</f>
        <v>5.4859999999999998</v>
      </c>
    </row>
    <row r="25" spans="1:18" ht="12" customHeight="1">
      <c r="A25" s="110"/>
      <c r="B25" s="83">
        <f t="shared" si="1"/>
        <v>2029</v>
      </c>
      <c r="C25" s="80">
        <f>+ROUND(INDEX('Tables 3 to 6'!Y:Y,MATCH(B25,'Tables 3 to 6'!B:B,0))/10,2)</f>
        <v>9.6199999999999992</v>
      </c>
      <c r="D25" s="79">
        <f t="shared" si="7"/>
        <v>9.6199999999999992</v>
      </c>
      <c r="E25" s="80">
        <f>+ROUND(INDEX('Tables 3 to 6'!Z:Z,MATCH(B25,'Tables 3 to 6'!B:B,0))/10,2)</f>
        <v>5.57</v>
      </c>
      <c r="F25" s="80">
        <f t="shared" si="5"/>
        <v>5.57</v>
      </c>
      <c r="G25" s="79"/>
      <c r="H25" s="110">
        <f t="shared" si="0"/>
        <v>7.96</v>
      </c>
      <c r="I25" s="111"/>
      <c r="J25" s="83">
        <f t="shared" si="2"/>
        <v>2029</v>
      </c>
      <c r="K25" s="90">
        <f t="shared" si="3"/>
        <v>14.85</v>
      </c>
      <c r="L25" s="90">
        <f>+ROUND(INDEX('Tables 3 to 6'!O:O,MATCH(J25,'Tables 3 to 6'!B:B,0)),2)</f>
        <v>178.17</v>
      </c>
      <c r="M25" s="79">
        <f>+ROUND(INDEX('Tables 3 to 6'!P:P,MATCH(J25,'Tables 3 to 6'!B:B,0)),2)/10</f>
        <v>5.57</v>
      </c>
    </row>
    <row r="26" spans="1:18" ht="12" customHeight="1">
      <c r="A26" s="110"/>
      <c r="B26" s="83">
        <f t="shared" si="1"/>
        <v>2030</v>
      </c>
      <c r="C26" s="80">
        <f>+ROUND(INDEX('Tables 3 to 6'!Y:Y,MATCH(B26,'Tables 3 to 6'!B:B,0))/10,2)</f>
        <v>9.7200000000000006</v>
      </c>
      <c r="D26" s="79">
        <f t="shared" si="7"/>
        <v>9.7200000000000006</v>
      </c>
      <c r="E26" s="80">
        <f>+ROUND(INDEX('Tables 3 to 6'!Z:Z,MATCH(B26,'Tables 3 to 6'!B:B,0))/10,2)</f>
        <v>5.6</v>
      </c>
      <c r="F26" s="80">
        <f t="shared" si="5"/>
        <v>5.6</v>
      </c>
      <c r="G26" s="79"/>
      <c r="H26" s="110">
        <f t="shared" si="0"/>
        <v>8.0399999999999991</v>
      </c>
      <c r="I26" s="111"/>
      <c r="J26" s="83">
        <f t="shared" si="2"/>
        <v>2030</v>
      </c>
      <c r="K26" s="90">
        <f t="shared" si="3"/>
        <v>15.13</v>
      </c>
      <c r="L26" s="90">
        <f>+ROUND(INDEX('Tables 3 to 6'!O:O,MATCH(J26,'Tables 3 to 6'!B:B,0)),2)</f>
        <v>181.55</v>
      </c>
      <c r="M26" s="79">
        <f>+ROUND(INDEX('Tables 3 to 6'!P:P,MATCH(J26,'Tables 3 to 6'!B:B,0)),2)/10</f>
        <v>5.5990000000000002</v>
      </c>
    </row>
    <row r="27" spans="1:18" ht="12" customHeight="1">
      <c r="A27" s="110"/>
      <c r="B27" s="83">
        <f t="shared" si="1"/>
        <v>2031</v>
      </c>
      <c r="C27" s="80">
        <f>+ROUND(INDEX('Tables 3 to 6'!Y:Y,MATCH(B27,'Tables 3 to 6'!B:B,0))/10,2)</f>
        <v>9.93</v>
      </c>
      <c r="D27" s="79">
        <f t="shared" si="7"/>
        <v>9.93</v>
      </c>
      <c r="E27" s="80">
        <f>+ROUND(INDEX('Tables 3 to 6'!Z:Z,MATCH(B27,'Tables 3 to 6'!B:B,0))/10,2)</f>
        <v>5.73</v>
      </c>
      <c r="F27" s="80">
        <f t="shared" si="5"/>
        <v>5.73</v>
      </c>
      <c r="G27" s="79"/>
      <c r="H27" s="110">
        <f t="shared" si="0"/>
        <v>8.2100000000000009</v>
      </c>
      <c r="I27" s="111"/>
      <c r="J27" s="83">
        <f t="shared" si="2"/>
        <v>2031</v>
      </c>
      <c r="K27" s="90">
        <f t="shared" si="3"/>
        <v>15.43</v>
      </c>
      <c r="L27" s="90">
        <f>+ROUND(INDEX('Tables 3 to 6'!O:O,MATCH(J27,'Tables 3 to 6'!B:B,0)),2)</f>
        <v>185.19</v>
      </c>
      <c r="M27" s="79">
        <f>+ROUND(INDEX('Tables 3 to 6'!P:P,MATCH(J27,'Tables 3 to 6'!B:B,0)),2)/10</f>
        <v>5.726</v>
      </c>
    </row>
    <row r="28" spans="1:18" ht="12" customHeight="1">
      <c r="A28" s="110"/>
      <c r="B28" s="83">
        <f>B27+1</f>
        <v>2032</v>
      </c>
      <c r="C28" s="80">
        <f>+ROUND(INDEX('Tables 3 to 6'!Y:Y,MATCH(B28,'Tables 3 to 6'!B:B,0))/10,2)</f>
        <v>10.119999999999999</v>
      </c>
      <c r="D28" s="79">
        <f t="shared" si="7"/>
        <v>10.119999999999999</v>
      </c>
      <c r="E28" s="80">
        <f>+ROUND(INDEX('Tables 3 to 6'!Z:Z,MATCH(B28,'Tables 3 to 6'!B:B,0))/10,2)</f>
        <v>5.84</v>
      </c>
      <c r="F28" s="80">
        <f t="shared" si="5"/>
        <v>5.84</v>
      </c>
      <c r="G28" s="79"/>
      <c r="H28" s="110">
        <f t="shared" si="0"/>
        <v>8.3699999999999992</v>
      </c>
      <c r="I28" s="111"/>
      <c r="J28" s="83">
        <f>J27+1</f>
        <v>2032</v>
      </c>
      <c r="K28" s="90">
        <f t="shared" si="3"/>
        <v>15.73</v>
      </c>
      <c r="L28" s="90">
        <f>+ROUND(INDEX('Tables 3 to 6'!O:O,MATCH(J28,'Tables 3 to 6'!B:B,0)),2)</f>
        <v>188.71</v>
      </c>
      <c r="M28" s="79">
        <f>+ROUND(INDEX('Tables 3 to 6'!P:P,MATCH(J28,'Tables 3 to 6'!B:B,0)),2)/10</f>
        <v>5.8380000000000001</v>
      </c>
      <c r="R28" s="98" t="s">
        <v>139</v>
      </c>
    </row>
    <row r="29" spans="1:18" ht="12" customHeight="1">
      <c r="A29" s="110"/>
      <c r="B29" s="83">
        <f>B28+1</f>
        <v>2033</v>
      </c>
      <c r="C29" s="80">
        <f>+ROUND(INDEX('Tables 3 to 6'!Y:Y,MATCH(B29,'Tables 3 to 6'!B:B,0))/10,2)</f>
        <v>10.32</v>
      </c>
      <c r="D29" s="79">
        <f t="shared" si="7"/>
        <v>10.32</v>
      </c>
      <c r="E29" s="80">
        <f>+ROUND(INDEX('Tables 3 to 6'!Z:Z,MATCH(B29,'Tables 3 to 6'!B:B,0))/10,2)</f>
        <v>5.95</v>
      </c>
      <c r="F29" s="80">
        <f t="shared" si="5"/>
        <v>5.95</v>
      </c>
      <c r="G29" s="79"/>
      <c r="H29" s="110">
        <f t="shared" si="0"/>
        <v>8.5399999999999991</v>
      </c>
      <c r="I29" s="111"/>
      <c r="J29" s="83">
        <f>J28+1</f>
        <v>2033</v>
      </c>
      <c r="K29" s="90">
        <f t="shared" si="3"/>
        <v>16.03</v>
      </c>
      <c r="L29" s="90">
        <f>+ROUND(INDEX('Tables 3 to 6'!O:O,MATCH(J29,'Tables 3 to 6'!B:B,0)),2)</f>
        <v>192.3</v>
      </c>
      <c r="M29" s="79">
        <f>+ROUND(INDEX('Tables 3 to 6'!P:P,MATCH(J29,'Tables 3 to 6'!B:B,0)),2)/10</f>
        <v>5.952</v>
      </c>
    </row>
    <row r="30" spans="1:18" ht="12" customHeight="1">
      <c r="A30" s="110"/>
      <c r="B30" s="83">
        <f>B29+1</f>
        <v>2034</v>
      </c>
      <c r="C30" s="80">
        <f>+ROUND(INDEX('Tables 3 to 6'!Y:Y,MATCH(B30,'Tables 3 to 6'!B:B,0))/10,2)</f>
        <v>10.52</v>
      </c>
      <c r="D30" s="79">
        <f t="shared" si="7"/>
        <v>10.52</v>
      </c>
      <c r="E30" s="80">
        <f>+ROUND(INDEX('Tables 3 to 6'!Z:Z,MATCH(B30,'Tables 3 to 6'!B:B,0))/10,2)</f>
        <v>6.06</v>
      </c>
      <c r="F30" s="80">
        <f t="shared" si="5"/>
        <v>6.06</v>
      </c>
      <c r="G30" s="79"/>
      <c r="H30" s="110">
        <f t="shared" si="0"/>
        <v>8.6999999999999993</v>
      </c>
      <c r="I30" s="111"/>
      <c r="J30" s="83">
        <f>J29+1</f>
        <v>2034</v>
      </c>
      <c r="K30" s="90">
        <f t="shared" si="3"/>
        <v>16.350000000000001</v>
      </c>
      <c r="L30" s="90">
        <f>+ROUND(INDEX('Tables 3 to 6'!O:O,MATCH(J30,'Tables 3 to 6'!B:B,0)),2)</f>
        <v>196.16</v>
      </c>
      <c r="M30" s="79">
        <f>+ROUND(INDEX('Tables 3 to 6'!P:P,MATCH(J30,'Tables 3 to 6'!B:B,0)),2)/10</f>
        <v>6.0649999999999995</v>
      </c>
      <c r="R30" s="112">
        <f>'Table 7'!G38</f>
        <v>7.1540000000000006E-2</v>
      </c>
    </row>
    <row r="31" spans="1:18" ht="12" customHeight="1">
      <c r="A31" s="110"/>
      <c r="B31" s="83">
        <f>B30+1</f>
        <v>2035</v>
      </c>
      <c r="C31" s="80">
        <f>+ROUND(INDEX('Tables 3 to 6'!Y:Y,MATCH(B31,'Tables 3 to 6'!B:B,0))/10,2)</f>
        <v>10.72</v>
      </c>
      <c r="D31" s="79">
        <f t="shared" si="7"/>
        <v>10.72</v>
      </c>
      <c r="E31" s="80">
        <f>+ROUND(INDEX('Tables 3 to 6'!Z:Z,MATCH(B31,'Tables 3 to 6'!B:B,0))/10,2)</f>
        <v>6.18</v>
      </c>
      <c r="F31" s="80">
        <f t="shared" si="5"/>
        <v>6.18</v>
      </c>
      <c r="G31" s="79"/>
      <c r="H31" s="110">
        <f t="shared" si="0"/>
        <v>8.8699999999999992</v>
      </c>
      <c r="I31" s="111"/>
      <c r="J31" s="83">
        <f>J30+1</f>
        <v>2035</v>
      </c>
      <c r="K31" s="90">
        <f t="shared" si="3"/>
        <v>16.66</v>
      </c>
      <c r="L31" s="90">
        <f>+ROUND(INDEX('Tables 3 to 6'!O:O,MATCH(J31,'Tables 3 to 6'!B:B,0)),2)</f>
        <v>199.87</v>
      </c>
      <c r="M31" s="79">
        <f>+ROUND(INDEX('Tables 3 to 6'!P:P,MATCH(J31,'Tables 3 to 6'!B:B,0)),2)/10</f>
        <v>6.1850000000000005</v>
      </c>
    </row>
    <row r="32" spans="1:18" ht="12" customHeight="1">
      <c r="A32" s="110"/>
      <c r="B32" s="83">
        <f>B31+1</f>
        <v>2036</v>
      </c>
      <c r="C32" s="80">
        <f>+ROUND(INDEX('Tables 3 to 6'!Y:Y,MATCH(B32,'Tables 3 to 6'!B:B,0))/10,2)</f>
        <v>10.92</v>
      </c>
      <c r="D32" s="79">
        <f t="shared" si="7"/>
        <v>10.92</v>
      </c>
      <c r="E32" s="80">
        <f>+ROUND(INDEX('Tables 3 to 6'!Z:Z,MATCH(B32,'Tables 3 to 6'!B:B,0))/10,2)</f>
        <v>6.3</v>
      </c>
      <c r="F32" s="80">
        <f t="shared" si="5"/>
        <v>6.3</v>
      </c>
      <c r="G32" s="79"/>
      <c r="H32" s="110">
        <f t="shared" si="0"/>
        <v>9.0299999999999994</v>
      </c>
      <c r="I32" s="111"/>
      <c r="J32" s="83">
        <f>J31+1</f>
        <v>2036</v>
      </c>
      <c r="K32" s="90">
        <f t="shared" si="3"/>
        <v>16.97</v>
      </c>
      <c r="L32" s="90">
        <f>+ROUND(INDEX('Tables 3 to 6'!O:O,MATCH(J32,'Tables 3 to 6'!B:B,0)),2)</f>
        <v>203.68</v>
      </c>
      <c r="M32" s="79">
        <f>+ROUND(INDEX('Tables 3 to 6'!P:P,MATCH(J32,'Tables 3 to 6'!B:B,0)),2)/10</f>
        <v>6.2990000000000004</v>
      </c>
    </row>
    <row r="33" spans="1:13" ht="12" customHeight="1">
      <c r="A33" s="110"/>
      <c r="B33" s="83"/>
      <c r="C33" s="79"/>
      <c r="D33" s="79"/>
      <c r="E33" s="79"/>
      <c r="F33" s="79"/>
      <c r="G33" s="79"/>
      <c r="H33" s="110"/>
      <c r="I33" s="111"/>
      <c r="J33" s="83"/>
      <c r="K33" s="90"/>
      <c r="L33" s="90"/>
      <c r="M33" s="79"/>
    </row>
    <row r="34" spans="1:13" ht="12" customHeight="1">
      <c r="A34" s="110"/>
      <c r="C34" s="77" t="s">
        <v>203</v>
      </c>
      <c r="D34" s="77"/>
      <c r="E34" s="77" t="s">
        <v>204</v>
      </c>
      <c r="F34" s="77"/>
      <c r="G34" s="79"/>
      <c r="H34" s="110"/>
      <c r="I34" s="111"/>
      <c r="J34" s="83"/>
      <c r="L34" s="90"/>
      <c r="M34" s="79"/>
    </row>
    <row r="35" spans="1:13" ht="12" customHeight="1">
      <c r="A35" s="110"/>
      <c r="B35" s="84"/>
      <c r="C35" s="81" t="s">
        <v>65</v>
      </c>
      <c r="D35" s="81" t="s">
        <v>66</v>
      </c>
      <c r="E35" s="81" t="s">
        <v>65</v>
      </c>
      <c r="F35" s="81" t="s">
        <v>66</v>
      </c>
      <c r="G35" s="79"/>
      <c r="H35" s="110"/>
      <c r="I35" s="111"/>
      <c r="J35" s="83"/>
      <c r="K35" s="90"/>
      <c r="L35" s="90"/>
      <c r="M35" s="79"/>
    </row>
    <row r="36" spans="1:13" ht="12" customHeight="1">
      <c r="B36" s="86"/>
      <c r="C36" s="87">
        <f>-PMT($R$30,COUNT(C8:C27),NPV($R$30,C8:C27))</f>
        <v>6.3950085128492757</v>
      </c>
      <c r="D36" s="87">
        <f>-PMT($R$30,COUNT(D8:D27),NPV($R$30,D8:D27))</f>
        <v>6.7984914551840063</v>
      </c>
      <c r="E36" s="87">
        <f>-PMT($R$30,COUNT(E8:E27),NPV($R$30,E8:E27))</f>
        <v>3.8258498810988475</v>
      </c>
      <c r="F36" s="87">
        <f>-PMT($R$30,COUNT(F8:F27),NPV($R$30,F8:F27))</f>
        <v>4.229098332406414</v>
      </c>
      <c r="G36" s="79"/>
    </row>
    <row r="37" spans="1:13">
      <c r="A37" s="113"/>
      <c r="G37" s="79"/>
      <c r="M37" s="93"/>
    </row>
    <row r="38" spans="1:13">
      <c r="A38" s="114"/>
      <c r="G38" s="79"/>
    </row>
    <row r="39" spans="1:13">
      <c r="A39" s="115"/>
      <c r="G39" s="79"/>
    </row>
    <row r="40" spans="1:13">
      <c r="A40" s="115"/>
      <c r="B40" s="86"/>
      <c r="C40" s="87"/>
      <c r="D40" s="87"/>
      <c r="E40" s="87"/>
      <c r="F40" s="87"/>
      <c r="G40" s="87"/>
      <c r="J40" s="78"/>
      <c r="L40" s="85"/>
      <c r="M40" s="85"/>
    </row>
    <row r="41" spans="1:13">
      <c r="A41" s="115"/>
      <c r="B41" s="86"/>
      <c r="C41" s="87"/>
      <c r="D41" s="87"/>
      <c r="E41" s="87"/>
      <c r="F41" s="87"/>
      <c r="G41" s="87"/>
      <c r="J41" s="78"/>
      <c r="L41" s="85"/>
      <c r="M41" s="85"/>
    </row>
    <row r="42" spans="1:13">
      <c r="A42" s="110"/>
      <c r="B42" s="84"/>
      <c r="C42" s="110"/>
      <c r="D42" s="110"/>
      <c r="E42" s="110"/>
      <c r="F42" s="110"/>
      <c r="G42" s="110"/>
      <c r="J42" s="84"/>
      <c r="K42" s="79"/>
      <c r="L42" s="79"/>
      <c r="M42" s="79"/>
    </row>
    <row r="43" spans="1:13">
      <c r="A43" s="114"/>
      <c r="K43" s="90"/>
      <c r="M43" s="91"/>
    </row>
    <row r="44" spans="1:13">
      <c r="A44" s="114"/>
      <c r="M44" s="91"/>
    </row>
    <row r="57" ht="24.75" customHeight="1"/>
  </sheetData>
  <printOptions horizontalCentered="1"/>
  <pageMargins left="0.25" right="0.25" top="0.75" bottom="0.75" header="0.3" footer="0.3"/>
  <pageSetup scale="90" orientation="landscape" copies="3" r:id="rId1"/>
  <headerFooter alignWithMargins="0">
    <oddFooter>&amp;L&amp;8NPC Group - &amp;F   ( &amp;A )&amp;C &amp;R 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1">
    <pageSetUpPr fitToPage="1"/>
  </sheetPr>
  <dimension ref="A1:P83"/>
  <sheetViews>
    <sheetView showGridLines="0" zoomScaleNormal="100" zoomScaleSheetLayoutView="100" workbookViewId="0">
      <selection activeCell="K19" sqref="K19"/>
    </sheetView>
  </sheetViews>
  <sheetFormatPr defaultRowHeight="12.75"/>
  <cols>
    <col min="1" max="1" width="9.33203125" style="98"/>
    <col min="2" max="10" width="8.5" style="98" customWidth="1"/>
    <col min="11" max="11" width="8.5" style="202" customWidth="1"/>
    <col min="12" max="13" width="8.5" style="98" customWidth="1"/>
    <col min="14" max="15" width="10.83203125" style="98" customWidth="1"/>
    <col min="16" max="21" width="15.33203125" style="98" customWidth="1"/>
    <col min="22" max="16384" width="9.33203125" style="98"/>
  </cols>
  <sheetData>
    <row r="1" spans="1:13" s="5" customFormat="1" ht="15.75">
      <c r="A1" s="1" t="s">
        <v>87</v>
      </c>
      <c r="B1" s="1"/>
      <c r="C1" s="1"/>
      <c r="D1" s="1"/>
      <c r="E1" s="6"/>
      <c r="F1" s="1"/>
      <c r="G1" s="1"/>
      <c r="H1" s="1"/>
      <c r="I1" s="1"/>
      <c r="J1" s="14"/>
      <c r="K1" s="15"/>
      <c r="L1" s="6"/>
      <c r="M1" s="6"/>
    </row>
    <row r="2" spans="1:13" s="7" customFormat="1" ht="15">
      <c r="A2" s="3" t="s">
        <v>71</v>
      </c>
      <c r="B2" s="3"/>
      <c r="C2" s="3"/>
      <c r="D2" s="3"/>
      <c r="E2" s="3"/>
      <c r="F2" s="3"/>
      <c r="G2" s="3"/>
      <c r="H2" s="3"/>
      <c r="I2" s="3"/>
      <c r="J2" s="3"/>
      <c r="K2" s="16"/>
      <c r="L2" s="14"/>
      <c r="M2" s="14"/>
    </row>
    <row r="3" spans="1:13" s="7" customFormat="1" ht="15">
      <c r="A3" s="3" t="str">
        <f>"Avoided Resource ("&amp;A10&amp;" through "&amp;MAX(A10:A21)&amp;")"</f>
        <v>Avoided Resource (2012 through 2019)</v>
      </c>
      <c r="B3" s="3"/>
      <c r="C3" s="3"/>
      <c r="D3" s="3"/>
      <c r="E3" s="3"/>
      <c r="F3" s="3"/>
      <c r="G3" s="3"/>
      <c r="H3" s="3"/>
      <c r="I3" s="3"/>
      <c r="J3" s="3"/>
      <c r="K3" s="16"/>
      <c r="L3" s="14"/>
      <c r="M3" s="14"/>
    </row>
    <row r="4" spans="1:13" ht="15">
      <c r="A4" s="3" t="s">
        <v>43</v>
      </c>
      <c r="B4" s="3"/>
      <c r="C4" s="3"/>
      <c r="D4" s="3"/>
      <c r="E4" s="3"/>
      <c r="F4" s="3"/>
      <c r="G4" s="3"/>
      <c r="H4" s="3"/>
      <c r="I4" s="3"/>
      <c r="J4" s="3"/>
      <c r="K4" s="16"/>
      <c r="L4" s="14"/>
      <c r="M4" s="14"/>
    </row>
    <row r="5" spans="1:13">
      <c r="B5" s="223"/>
      <c r="C5" s="223"/>
      <c r="D5" s="223"/>
      <c r="E5" s="4"/>
      <c r="F5" s="4"/>
      <c r="G5" s="4"/>
      <c r="H5" s="4"/>
      <c r="I5" s="4"/>
      <c r="J5" s="4"/>
      <c r="K5" s="17"/>
    </row>
    <row r="6" spans="1:13">
      <c r="A6" s="232" t="s">
        <v>3</v>
      </c>
      <c r="B6" s="207" t="s">
        <v>63</v>
      </c>
      <c r="C6" s="242"/>
      <c r="D6" s="242"/>
      <c r="E6" s="207"/>
      <c r="F6" s="207"/>
      <c r="G6" s="207" t="s">
        <v>64</v>
      </c>
      <c r="H6" s="207"/>
      <c r="I6" s="207"/>
      <c r="J6" s="207"/>
      <c r="K6" s="207" t="s">
        <v>63</v>
      </c>
      <c r="L6" s="207"/>
      <c r="M6" s="207"/>
    </row>
    <row r="7" spans="1:13">
      <c r="A7" s="221"/>
      <c r="B7" s="269" t="s">
        <v>51</v>
      </c>
      <c r="C7" s="269" t="s">
        <v>52</v>
      </c>
      <c r="D7" s="269" t="s">
        <v>53</v>
      </c>
      <c r="E7" s="269" t="s">
        <v>54</v>
      </c>
      <c r="F7" s="220" t="s">
        <v>55</v>
      </c>
      <c r="G7" s="269" t="s">
        <v>56</v>
      </c>
      <c r="H7" s="269" t="s">
        <v>57</v>
      </c>
      <c r="I7" s="269" t="s">
        <v>58</v>
      </c>
      <c r="J7" s="220" t="s">
        <v>59</v>
      </c>
      <c r="K7" s="269" t="s">
        <v>60</v>
      </c>
      <c r="L7" s="269" t="s">
        <v>61</v>
      </c>
      <c r="M7" s="220" t="s">
        <v>62</v>
      </c>
    </row>
    <row r="8" spans="1:13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</row>
    <row r="9" spans="1:13" ht="12.75" customHeight="1">
      <c r="A9" s="13" t="s">
        <v>1</v>
      </c>
      <c r="C9" s="223"/>
      <c r="D9" s="223"/>
      <c r="E9" s="223"/>
      <c r="F9" s="223"/>
      <c r="G9" s="223"/>
      <c r="H9" s="223"/>
      <c r="I9" s="223"/>
      <c r="J9" s="223"/>
      <c r="K9" s="270"/>
      <c r="L9" s="202"/>
      <c r="M9" s="202"/>
    </row>
    <row r="10" spans="1:13" ht="12.75" customHeight="1">
      <c r="A10" s="271">
        <f>'Tables 3 to 6'!$B$12</f>
        <v>2012</v>
      </c>
      <c r="B10" s="272"/>
      <c r="C10" s="252"/>
      <c r="D10" s="252"/>
      <c r="E10" s="252"/>
      <c r="F10" s="253"/>
      <c r="G10" s="252"/>
      <c r="H10" s="252">
        <f>H22+'Tables 3 to 6'!$W12</f>
        <v>45.263259672721226</v>
      </c>
      <c r="I10" s="252">
        <f>I22+'Tables 3 to 6'!$W12</f>
        <v>45.564511493344298</v>
      </c>
      <c r="J10" s="253">
        <f>J22+'Tables 3 to 6'!$W12</f>
        <v>42.543344568094859</v>
      </c>
      <c r="K10" s="252">
        <f>K22+'Tables 3 to 6'!$W12</f>
        <v>41.528641837385877</v>
      </c>
      <c r="L10" s="252">
        <f>L22+'Tables 3 to 6'!$W12</f>
        <v>44.307219580478133</v>
      </c>
      <c r="M10" s="253">
        <f>M22+'Tables 3 to 6'!$W12</f>
        <v>43.278803924079781</v>
      </c>
    </row>
    <row r="11" spans="1:13" ht="12.75" customHeight="1">
      <c r="A11" s="256">
        <f t="shared" ref="A11:A17" si="0">A10+1</f>
        <v>2013</v>
      </c>
      <c r="B11" s="273">
        <f>B23+'Tables 3 to 6'!$W13</f>
        <v>40.288733294013369</v>
      </c>
      <c r="C11" s="249">
        <f>C23+'Tables 3 to 6'!$W13</f>
        <v>40.319801717839155</v>
      </c>
      <c r="D11" s="249">
        <f>D23+'Tables 3 to 6'!$W13</f>
        <v>38.319095052918925</v>
      </c>
      <c r="E11" s="249">
        <f>E23+'Tables 3 to 6'!$W13</f>
        <v>35.134004117711967</v>
      </c>
      <c r="F11" s="257">
        <f>F23+'Tables 3 to 6'!$W13</f>
        <v>34.54931814627902</v>
      </c>
      <c r="G11" s="249">
        <f>G23+'Tables 3 to 6'!$W13</f>
        <v>34.56502940769618</v>
      </c>
      <c r="H11" s="249">
        <f>H23+'Tables 3 to 6'!$W13</f>
        <v>45.304359743387636</v>
      </c>
      <c r="I11" s="249">
        <f>I23+'Tables 3 to 6'!$W13</f>
        <v>48.312177280324605</v>
      </c>
      <c r="J11" s="257">
        <f>J23+'Tables 3 to 6'!$W13</f>
        <v>43.135365550847105</v>
      </c>
      <c r="K11" s="249">
        <f>K23+'Tables 3 to 6'!$W13</f>
        <v>42.048200105555281</v>
      </c>
      <c r="L11" s="249">
        <f>L23+'Tables 3 to 6'!$W13</f>
        <v>42.79367814662556</v>
      </c>
      <c r="M11" s="257">
        <f>M23+'Tables 3 to 6'!$W13</f>
        <v>40.903341977416432</v>
      </c>
    </row>
    <row r="12" spans="1:13" ht="12.75" customHeight="1">
      <c r="A12" s="256">
        <f t="shared" si="0"/>
        <v>2014</v>
      </c>
      <c r="B12" s="273">
        <f>B24+'Tables 3 to 6'!$W14</f>
        <v>52.468696070964377</v>
      </c>
      <c r="C12" s="249">
        <f>C24+'Tables 3 to 6'!$W14</f>
        <v>52.441767245337722</v>
      </c>
      <c r="D12" s="249">
        <f>D24+'Tables 3 to 6'!$W14</f>
        <v>51.713172370953671</v>
      </c>
      <c r="E12" s="249">
        <f>E24+'Tables 3 to 6'!$W14</f>
        <v>47.452199692308071</v>
      </c>
      <c r="F12" s="257">
        <f>F24+'Tables 3 to 6'!$W14</f>
        <v>46.809604153903507</v>
      </c>
      <c r="G12" s="249">
        <f>G24+'Tables 3 to 6'!$W14</f>
        <v>44.055720242154266</v>
      </c>
      <c r="H12" s="249">
        <f>H24+'Tables 3 to 6'!$W14</f>
        <v>55.874670649355139</v>
      </c>
      <c r="I12" s="249">
        <f>I24+'Tables 3 to 6'!$W14</f>
        <v>58.687070361151491</v>
      </c>
      <c r="J12" s="257">
        <f>J24+'Tables 3 to 6'!$W14</f>
        <v>52.207493500413577</v>
      </c>
      <c r="K12" s="249">
        <f>K24+'Tables 3 to 6'!$W14</f>
        <v>47.563696760983873</v>
      </c>
      <c r="L12" s="249">
        <f>L24+'Tables 3 to 6'!$W14</f>
        <v>43.780362700894472</v>
      </c>
      <c r="M12" s="257">
        <f>M24+'Tables 3 to 6'!$W14</f>
        <v>42.687906561282375</v>
      </c>
    </row>
    <row r="13" spans="1:13" ht="12.75" customHeight="1">
      <c r="A13" s="256">
        <f t="shared" si="0"/>
        <v>2015</v>
      </c>
      <c r="B13" s="273">
        <f>B25+'Tables 3 to 6'!$W15</f>
        <v>50.565869698890197</v>
      </c>
      <c r="C13" s="249">
        <f>C25+'Tables 3 to 6'!$W15</f>
        <v>52.304962572831485</v>
      </c>
      <c r="D13" s="249">
        <f>D25+'Tables 3 to 6'!$W15</f>
        <v>52.915007880420617</v>
      </c>
      <c r="E13" s="249">
        <f>E25+'Tables 3 to 6'!$W15</f>
        <v>49.722887617179921</v>
      </c>
      <c r="F13" s="257">
        <f>F25+'Tables 3 to 6'!$W15</f>
        <v>48.405692133894689</v>
      </c>
      <c r="G13" s="249">
        <f>G25+'Tables 3 to 6'!$W15</f>
        <v>48.9508646003219</v>
      </c>
      <c r="H13" s="249">
        <f>H25+'Tables 3 to 6'!$W15</f>
        <v>60.270941167507445</v>
      </c>
      <c r="I13" s="249">
        <f>I25+'Tables 3 to 6'!$W15</f>
        <v>62.754500709444443</v>
      </c>
      <c r="J13" s="257">
        <f>J25+'Tables 3 to 6'!$W15</f>
        <v>55.510578558943749</v>
      </c>
      <c r="K13" s="249">
        <f>K25+'Tables 3 to 6'!$W15</f>
        <v>52.463343725596225</v>
      </c>
      <c r="L13" s="249">
        <f>L25+'Tables 3 to 6'!$W15</f>
        <v>49.357610758758256</v>
      </c>
      <c r="M13" s="257">
        <f>M25+'Tables 3 to 6'!$W15</f>
        <v>50.858358040278162</v>
      </c>
    </row>
    <row r="14" spans="1:13" ht="12.75" customHeight="1">
      <c r="A14" s="256">
        <f t="shared" si="0"/>
        <v>2016</v>
      </c>
      <c r="B14" s="273">
        <f>B26+'Tables 3 to 6'!$W19</f>
        <v>57.369463032761246</v>
      </c>
      <c r="C14" s="249">
        <f>C26+'Tables 3 to 6'!$W19</f>
        <v>55.870737259754932</v>
      </c>
      <c r="D14" s="249">
        <f>D26+'Tables 3 to 6'!$W19</f>
        <v>59.383702964152221</v>
      </c>
      <c r="E14" s="249">
        <f>E26+'Tables 3 to 6'!$W19</f>
        <v>56.545594750466861</v>
      </c>
      <c r="F14" s="257">
        <f>F26+'Tables 3 to 6'!$W19</f>
        <v>55.839601971105701</v>
      </c>
      <c r="G14" s="249">
        <f>G26+'Tables 3 to 6'!$W19</f>
        <v>54.78638671469357</v>
      </c>
      <c r="H14" s="249">
        <f>H26+'Tables 3 to 6'!$W19</f>
        <v>67.558016809257126</v>
      </c>
      <c r="I14" s="249">
        <f>I26+'Tables 3 to 6'!$W19</f>
        <v>69.780062839225423</v>
      </c>
      <c r="J14" s="257">
        <f>J26+'Tables 3 to 6'!$W19</f>
        <v>62.512829258508148</v>
      </c>
      <c r="K14" s="249">
        <f>K26+'Tables 3 to 6'!$W19</f>
        <v>57.65897912736061</v>
      </c>
      <c r="L14" s="249">
        <f>L26+'Tables 3 to 6'!$W19</f>
        <v>51.43089177505631</v>
      </c>
      <c r="M14" s="257">
        <f>M26+'Tables 3 to 6'!$W19</f>
        <v>55.141550727181375</v>
      </c>
    </row>
    <row r="15" spans="1:13" ht="12.75" customHeight="1">
      <c r="A15" s="256">
        <f t="shared" si="0"/>
        <v>2017</v>
      </c>
      <c r="B15" s="273">
        <f>B27+'Tables 3 to 6'!$W20</f>
        <v>28.943658041485374</v>
      </c>
      <c r="C15" s="249">
        <f>C27+'Tables 3 to 6'!$W20</f>
        <v>27.94142374736035</v>
      </c>
      <c r="D15" s="249">
        <f>D27+'Tables 3 to 6'!$W20</f>
        <v>33.222875889194427</v>
      </c>
      <c r="E15" s="249">
        <f>E27+'Tables 3 to 6'!$W20</f>
        <v>34.058326643200381</v>
      </c>
      <c r="F15" s="257">
        <f>F27+'Tables 3 to 6'!$W20</f>
        <v>33.310926980192782</v>
      </c>
      <c r="G15" s="249">
        <f>G27+'Tables 3 to 6'!$W20</f>
        <v>32.904883730196289</v>
      </c>
      <c r="H15" s="249">
        <f>H27+'Tables 3 to 6'!$W20</f>
        <v>44.834237645786779</v>
      </c>
      <c r="I15" s="249">
        <f>I27+'Tables 3 to 6'!$W20</f>
        <v>47.038735234741402</v>
      </c>
      <c r="J15" s="257">
        <f>J27+'Tables 3 to 6'!$W20</f>
        <v>38.38471837937832</v>
      </c>
      <c r="K15" s="249">
        <f>K27+'Tables 3 to 6'!$W20</f>
        <v>34.919020637228925</v>
      </c>
      <c r="L15" s="249">
        <f>L27+'Tables 3 to 6'!$W20</f>
        <v>29.497599056787376</v>
      </c>
      <c r="M15" s="257">
        <f>M27+'Tables 3 to 6'!$W20</f>
        <v>32.136797462395762</v>
      </c>
    </row>
    <row r="16" spans="1:13" ht="12.75" customHeight="1">
      <c r="A16" s="256">
        <f t="shared" si="0"/>
        <v>2018</v>
      </c>
      <c r="B16" s="273">
        <f>B28+'Tables 3 to 6'!$W21</f>
        <v>31.889636682658907</v>
      </c>
      <c r="C16" s="249">
        <f>C28+'Tables 3 to 6'!$W21</f>
        <v>30.105027004845795</v>
      </c>
      <c r="D16" s="249">
        <f>D28+'Tables 3 to 6'!$W21</f>
        <v>33.391090272967851</v>
      </c>
      <c r="E16" s="249">
        <f>E28+'Tables 3 to 6'!$W21</f>
        <v>34.97728265694446</v>
      </c>
      <c r="F16" s="257">
        <f>F28+'Tables 3 to 6'!$W21</f>
        <v>35.853351854833384</v>
      </c>
      <c r="G16" s="249">
        <f>G28+'Tables 3 to 6'!$W21</f>
        <v>40.214129025000666</v>
      </c>
      <c r="H16" s="249">
        <f>H28+'Tables 3 to 6'!$W21</f>
        <v>53.534261963704743</v>
      </c>
      <c r="I16" s="249">
        <f>I28+'Tables 3 to 6'!$W21</f>
        <v>55.103188458329406</v>
      </c>
      <c r="J16" s="257">
        <f>J28+'Tables 3 to 6'!$W21</f>
        <v>44.336219222226902</v>
      </c>
      <c r="K16" s="249">
        <f>K28+'Tables 3 to 6'!$W21</f>
        <v>39.979197627686524</v>
      </c>
      <c r="L16" s="249">
        <f>L28+'Tables 3 to 6'!$W21</f>
        <v>35.509088477773801</v>
      </c>
      <c r="M16" s="257">
        <f>M28+'Tables 3 to 6'!$W21</f>
        <v>35.396475729830961</v>
      </c>
    </row>
    <row r="17" spans="1:13" ht="12.75" customHeight="1">
      <c r="A17" s="256">
        <f t="shared" si="0"/>
        <v>2019</v>
      </c>
      <c r="B17" s="273">
        <f>B29+'Tables 3 to 6'!$W22</f>
        <v>68.930757830647693</v>
      </c>
      <c r="C17" s="249">
        <f>C29+'Tables 3 to 6'!$W22</f>
        <v>69.998820967260031</v>
      </c>
      <c r="D17" s="249">
        <f>D29+'Tables 3 to 6'!$W22</f>
        <v>70.957318623655596</v>
      </c>
      <c r="E17" s="249">
        <f>E29+'Tables 3 to 6'!$W22</f>
        <v>74.067118461107214</v>
      </c>
      <c r="F17" s="257">
        <f>F29+'Tables 3 to 6'!$W22</f>
        <v>73.739023561834969</v>
      </c>
      <c r="G17" s="249">
        <f>G29+'Tables 3 to 6'!$W22</f>
        <v>84.742308322228496</v>
      </c>
      <c r="H17" s="249">
        <f>H29+'Tables 3 to 6'!$W22</f>
        <v>96.483256821237433</v>
      </c>
      <c r="I17" s="249">
        <f>I29+'Tables 3 to 6'!$W22</f>
        <v>97.264982983873736</v>
      </c>
      <c r="J17" s="257">
        <f>J29+'Tables 3 to 6'!$W22</f>
        <v>84.047291329167791</v>
      </c>
      <c r="K17" s="249">
        <f>K29+'Tables 3 to 6'!$W22</f>
        <v>78.162961697581636</v>
      </c>
      <c r="L17" s="249">
        <f>L29+'Tables 3 to 6'!$W22</f>
        <v>81.648180391668447</v>
      </c>
      <c r="M17" s="257">
        <f>M29+'Tables 3 to 6'!$W22</f>
        <v>72.094019060488989</v>
      </c>
    </row>
    <row r="18" spans="1:13" ht="12.75" hidden="1" customHeight="1">
      <c r="A18" s="256"/>
      <c r="B18" s="273"/>
      <c r="C18" s="249"/>
      <c r="D18" s="249"/>
      <c r="E18" s="249"/>
      <c r="F18" s="257"/>
      <c r="G18" s="249"/>
      <c r="H18" s="249"/>
      <c r="I18" s="249"/>
      <c r="J18" s="257"/>
      <c r="K18" s="249"/>
      <c r="L18" s="249"/>
      <c r="M18" s="257"/>
    </row>
    <row r="19" spans="1:13" ht="12.75" hidden="1" customHeight="1">
      <c r="A19" s="259"/>
      <c r="B19" s="274"/>
      <c r="C19" s="260"/>
      <c r="D19" s="260"/>
      <c r="E19" s="260"/>
      <c r="F19" s="261"/>
      <c r="G19" s="260"/>
      <c r="H19" s="260"/>
      <c r="I19" s="260"/>
      <c r="J19" s="261"/>
      <c r="K19" s="260"/>
      <c r="L19" s="260"/>
      <c r="M19" s="261"/>
    </row>
    <row r="20" spans="1:13" ht="12.75" customHeight="1">
      <c r="A20" s="275"/>
      <c r="B20" s="276"/>
      <c r="C20" s="276"/>
      <c r="D20" s="276"/>
      <c r="E20" s="276"/>
      <c r="F20" s="277"/>
      <c r="G20" s="277"/>
      <c r="H20" s="277"/>
      <c r="I20" s="277"/>
      <c r="J20" s="278"/>
      <c r="K20" s="277"/>
      <c r="L20" s="277"/>
      <c r="M20" s="277"/>
    </row>
    <row r="21" spans="1:13" ht="12.75" customHeight="1">
      <c r="A21" s="13" t="s">
        <v>2</v>
      </c>
      <c r="C21" s="223"/>
      <c r="D21" s="223"/>
      <c r="E21" s="223"/>
      <c r="G21" s="223"/>
      <c r="H21" s="223"/>
      <c r="I21" s="223"/>
      <c r="J21" s="270"/>
      <c r="L21" s="223"/>
      <c r="M21" s="202"/>
    </row>
    <row r="22" spans="1:13" ht="12.75" customHeight="1">
      <c r="A22" s="271">
        <f>'Tables 3 to 6'!$B$12</f>
        <v>2012</v>
      </c>
      <c r="B22" s="272"/>
      <c r="C22" s="252"/>
      <c r="D22" s="252"/>
      <c r="E22" s="252"/>
      <c r="F22" s="252"/>
      <c r="G22" s="252"/>
      <c r="H22" s="252">
        <v>25.703259672721227</v>
      </c>
      <c r="I22" s="252">
        <v>26.0045114933443</v>
      </c>
      <c r="J22" s="252">
        <v>22.983344568094861</v>
      </c>
      <c r="K22" s="252">
        <v>21.968641837385874</v>
      </c>
      <c r="L22" s="252">
        <v>24.747219580478138</v>
      </c>
      <c r="M22" s="253">
        <v>23.718803924079783</v>
      </c>
    </row>
    <row r="23" spans="1:13" ht="12.75" customHeight="1">
      <c r="A23" s="256">
        <f t="shared" ref="A23:A29" si="1">A22+1</f>
        <v>2013</v>
      </c>
      <c r="B23" s="273">
        <v>27.738733294013368</v>
      </c>
      <c r="C23" s="249">
        <v>27.769801717839158</v>
      </c>
      <c r="D23" s="249">
        <v>25.769095052918921</v>
      </c>
      <c r="E23" s="249">
        <v>22.584004117711963</v>
      </c>
      <c r="F23" s="249">
        <v>21.999318146279023</v>
      </c>
      <c r="G23" s="249">
        <v>22.015029407696179</v>
      </c>
      <c r="H23" s="249">
        <v>32.754359743387631</v>
      </c>
      <c r="I23" s="249">
        <v>35.7621772803246</v>
      </c>
      <c r="J23" s="249">
        <v>30.585365550847104</v>
      </c>
      <c r="K23" s="249">
        <v>29.498200105555277</v>
      </c>
      <c r="L23" s="249">
        <v>30.243678146625559</v>
      </c>
      <c r="M23" s="257">
        <v>28.353341977416427</v>
      </c>
    </row>
    <row r="24" spans="1:13" ht="12.75" customHeight="1">
      <c r="A24" s="256">
        <f t="shared" si="1"/>
        <v>2014</v>
      </c>
      <c r="B24" s="273">
        <v>32.008696070964376</v>
      </c>
      <c r="C24" s="249">
        <v>31.981767245337721</v>
      </c>
      <c r="D24" s="249">
        <v>31.253172370953667</v>
      </c>
      <c r="E24" s="249">
        <v>26.992199692308073</v>
      </c>
      <c r="F24" s="249">
        <v>26.349604153903503</v>
      </c>
      <c r="G24" s="249">
        <v>23.595720242154268</v>
      </c>
      <c r="H24" s="249">
        <v>35.414670649355138</v>
      </c>
      <c r="I24" s="249">
        <v>38.22707036115149</v>
      </c>
      <c r="J24" s="249">
        <v>31.747493500413579</v>
      </c>
      <c r="K24" s="249">
        <v>27.103696760983876</v>
      </c>
      <c r="L24" s="249">
        <v>23.320362700894474</v>
      </c>
      <c r="M24" s="257">
        <v>22.227906561282374</v>
      </c>
    </row>
    <row r="25" spans="1:13" ht="12.75" customHeight="1">
      <c r="A25" s="256">
        <f t="shared" si="1"/>
        <v>2015</v>
      </c>
      <c r="B25" s="273">
        <v>29.695869698890196</v>
      </c>
      <c r="C25" s="249">
        <v>31.434962572831484</v>
      </c>
      <c r="D25" s="249">
        <v>32.045007880420613</v>
      </c>
      <c r="E25" s="249">
        <v>28.852887617179917</v>
      </c>
      <c r="F25" s="249">
        <v>27.535692133894692</v>
      </c>
      <c r="G25" s="249">
        <v>28.080864600321899</v>
      </c>
      <c r="H25" s="249">
        <v>39.40094116750744</v>
      </c>
      <c r="I25" s="249">
        <v>41.884500709444445</v>
      </c>
      <c r="J25" s="249">
        <v>34.640578558943751</v>
      </c>
      <c r="K25" s="249">
        <v>31.593343725596224</v>
      </c>
      <c r="L25" s="249">
        <v>28.487610758758255</v>
      </c>
      <c r="M25" s="257">
        <v>29.988358040278158</v>
      </c>
    </row>
    <row r="26" spans="1:13" ht="12.75" customHeight="1">
      <c r="A26" s="256">
        <f t="shared" si="1"/>
        <v>2016</v>
      </c>
      <c r="B26" s="273">
        <v>32.079463032761247</v>
      </c>
      <c r="C26" s="249">
        <v>30.580737259754933</v>
      </c>
      <c r="D26" s="249">
        <v>34.093702964152222</v>
      </c>
      <c r="E26" s="249">
        <v>31.255594750466859</v>
      </c>
      <c r="F26" s="249">
        <v>30.549601971105702</v>
      </c>
      <c r="G26" s="249">
        <v>29.496386714693571</v>
      </c>
      <c r="H26" s="249">
        <v>42.268016809257126</v>
      </c>
      <c r="I26" s="249">
        <v>44.490062839225416</v>
      </c>
      <c r="J26" s="249">
        <v>37.222829258508149</v>
      </c>
      <c r="K26" s="249">
        <v>32.36897912736061</v>
      </c>
      <c r="L26" s="249">
        <v>26.140891775056307</v>
      </c>
      <c r="M26" s="257">
        <v>29.851550727181376</v>
      </c>
    </row>
    <row r="27" spans="1:13" ht="12.75" customHeight="1">
      <c r="A27" s="256">
        <f t="shared" si="1"/>
        <v>2017</v>
      </c>
      <c r="B27" s="273">
        <v>28.943658041485374</v>
      </c>
      <c r="C27" s="249">
        <v>27.94142374736035</v>
      </c>
      <c r="D27" s="249">
        <v>33.222875889194427</v>
      </c>
      <c r="E27" s="249">
        <v>34.058326643200381</v>
      </c>
      <c r="F27" s="249">
        <v>33.310926980192782</v>
      </c>
      <c r="G27" s="249">
        <v>32.904883730196289</v>
      </c>
      <c r="H27" s="249">
        <v>44.834237645786779</v>
      </c>
      <c r="I27" s="249">
        <v>47.038735234741402</v>
      </c>
      <c r="J27" s="249">
        <v>38.38471837937832</v>
      </c>
      <c r="K27" s="249">
        <v>34.919020637228925</v>
      </c>
      <c r="L27" s="249">
        <v>29.497599056787376</v>
      </c>
      <c r="M27" s="257">
        <v>32.136797462395762</v>
      </c>
    </row>
    <row r="28" spans="1:13" ht="12.75" customHeight="1">
      <c r="A28" s="256">
        <f t="shared" si="1"/>
        <v>2018</v>
      </c>
      <c r="B28" s="273">
        <v>31.889636682658907</v>
      </c>
      <c r="C28" s="249">
        <v>30.105027004845795</v>
      </c>
      <c r="D28" s="249">
        <v>33.391090272967851</v>
      </c>
      <c r="E28" s="249">
        <v>34.97728265694446</v>
      </c>
      <c r="F28" s="249">
        <v>35.853351854833384</v>
      </c>
      <c r="G28" s="249">
        <v>40.214129025000666</v>
      </c>
      <c r="H28" s="249">
        <v>53.534261963704743</v>
      </c>
      <c r="I28" s="249">
        <v>55.103188458329406</v>
      </c>
      <c r="J28" s="249">
        <v>44.336219222226902</v>
      </c>
      <c r="K28" s="249">
        <v>39.979197627686524</v>
      </c>
      <c r="L28" s="249">
        <v>35.509088477773801</v>
      </c>
      <c r="M28" s="257">
        <v>35.396475729830961</v>
      </c>
    </row>
    <row r="29" spans="1:13" ht="12.75" customHeight="1">
      <c r="A29" s="256">
        <f t="shared" si="1"/>
        <v>2019</v>
      </c>
      <c r="B29" s="273">
        <v>34.570757830647693</v>
      </c>
      <c r="C29" s="249">
        <v>35.638820967260038</v>
      </c>
      <c r="D29" s="249">
        <v>36.597318623655589</v>
      </c>
      <c r="E29" s="249">
        <v>39.707118461107214</v>
      </c>
      <c r="F29" s="249">
        <v>39.37902356183497</v>
      </c>
      <c r="G29" s="249">
        <v>50.382308322228489</v>
      </c>
      <c r="H29" s="249">
        <v>62.123256821237426</v>
      </c>
      <c r="I29" s="249">
        <v>62.904982983873737</v>
      </c>
      <c r="J29" s="249">
        <v>49.687291329167785</v>
      </c>
      <c r="K29" s="249">
        <v>43.802961697581637</v>
      </c>
      <c r="L29" s="249">
        <v>47.288180391668448</v>
      </c>
      <c r="M29" s="257">
        <v>37.73401906048899</v>
      </c>
    </row>
    <row r="30" spans="1:13" ht="12.75" hidden="1" customHeight="1">
      <c r="A30" s="256"/>
      <c r="B30" s="273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57"/>
    </row>
    <row r="31" spans="1:13" ht="12.75" hidden="1" customHeight="1">
      <c r="A31" s="259"/>
      <c r="B31" s="274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1"/>
    </row>
    <row r="32" spans="1:13" ht="12.75" customHeight="1">
      <c r="A32" s="275"/>
      <c r="B32" s="276"/>
      <c r="C32" s="276"/>
      <c r="D32" s="276"/>
      <c r="E32" s="276"/>
      <c r="F32" s="277"/>
      <c r="G32" s="277"/>
      <c r="H32" s="277"/>
      <c r="I32" s="277"/>
      <c r="J32" s="278"/>
      <c r="K32" s="277"/>
      <c r="L32" s="277"/>
      <c r="M32" s="277"/>
    </row>
    <row r="33" spans="1:14" ht="12.75" customHeight="1">
      <c r="A33" s="13" t="s">
        <v>11</v>
      </c>
      <c r="C33" s="223"/>
      <c r="D33" s="223"/>
      <c r="E33" s="223"/>
      <c r="G33" s="223"/>
      <c r="H33" s="223"/>
      <c r="I33" s="223"/>
      <c r="J33" s="270"/>
      <c r="L33" s="223"/>
      <c r="M33" s="202"/>
    </row>
    <row r="34" spans="1:14" ht="12.75" customHeight="1">
      <c r="A34" s="271">
        <f>'Tables 3 to 6'!$B$12</f>
        <v>2012</v>
      </c>
      <c r="B34" s="272"/>
      <c r="C34" s="252"/>
      <c r="D34" s="252"/>
      <c r="E34" s="252"/>
      <c r="F34" s="252"/>
      <c r="G34" s="272"/>
      <c r="H34" s="252">
        <f t="shared" ref="H34:M37" si="2">H10*0.57+H22*0.43</f>
        <v>36.852459672721224</v>
      </c>
      <c r="I34" s="252">
        <f t="shared" si="2"/>
        <v>37.153711493344296</v>
      </c>
      <c r="J34" s="252">
        <f t="shared" si="2"/>
        <v>34.132544568094858</v>
      </c>
      <c r="K34" s="272">
        <f t="shared" si="2"/>
        <v>33.117841837385875</v>
      </c>
      <c r="L34" s="252">
        <f t="shared" si="2"/>
        <v>35.896419580478138</v>
      </c>
      <c r="M34" s="253">
        <f t="shared" si="2"/>
        <v>34.86800392407978</v>
      </c>
    </row>
    <row r="35" spans="1:14" ht="12.75" customHeight="1">
      <c r="A35" s="256">
        <f t="shared" ref="A35:A41" si="3">A34+1</f>
        <v>2013</v>
      </c>
      <c r="B35" s="273">
        <f t="shared" ref="B35:G37" si="4">B11*0.57+B23*0.43</f>
        <v>34.892233294013366</v>
      </c>
      <c r="C35" s="249">
        <f t="shared" si="4"/>
        <v>34.923301717839152</v>
      </c>
      <c r="D35" s="249">
        <f t="shared" si="4"/>
        <v>32.922595052918922</v>
      </c>
      <c r="E35" s="249">
        <f t="shared" si="4"/>
        <v>29.737504117711964</v>
      </c>
      <c r="F35" s="249">
        <f t="shared" si="4"/>
        <v>29.152818146279021</v>
      </c>
      <c r="G35" s="273">
        <f t="shared" si="4"/>
        <v>29.168529407696177</v>
      </c>
      <c r="H35" s="249">
        <f t="shared" si="2"/>
        <v>39.907859743387633</v>
      </c>
      <c r="I35" s="249">
        <f t="shared" si="2"/>
        <v>42.915677280324601</v>
      </c>
      <c r="J35" s="249">
        <f t="shared" si="2"/>
        <v>37.738865550847102</v>
      </c>
      <c r="K35" s="273">
        <f t="shared" si="2"/>
        <v>36.651700105555278</v>
      </c>
      <c r="L35" s="249">
        <f t="shared" si="2"/>
        <v>37.397178146625556</v>
      </c>
      <c r="M35" s="257">
        <f t="shared" si="2"/>
        <v>35.506841977416428</v>
      </c>
    </row>
    <row r="36" spans="1:14" ht="12.75" customHeight="1">
      <c r="A36" s="256">
        <f t="shared" si="3"/>
        <v>2014</v>
      </c>
      <c r="B36" s="273">
        <f t="shared" si="4"/>
        <v>43.670896070964375</v>
      </c>
      <c r="C36" s="249">
        <f t="shared" si="4"/>
        <v>43.64396724533772</v>
      </c>
      <c r="D36" s="249">
        <f t="shared" si="4"/>
        <v>42.915372370953669</v>
      </c>
      <c r="E36" s="249">
        <f t="shared" si="4"/>
        <v>38.654399692308068</v>
      </c>
      <c r="F36" s="249">
        <f t="shared" si="4"/>
        <v>38.011804153903498</v>
      </c>
      <c r="G36" s="273">
        <f t="shared" si="4"/>
        <v>35.257920242154263</v>
      </c>
      <c r="H36" s="249">
        <f t="shared" si="2"/>
        <v>47.076870649355136</v>
      </c>
      <c r="I36" s="249">
        <f t="shared" si="2"/>
        <v>49.889270361151489</v>
      </c>
      <c r="J36" s="249">
        <f t="shared" si="2"/>
        <v>43.409693500413574</v>
      </c>
      <c r="K36" s="273">
        <f t="shared" si="2"/>
        <v>38.765896760983871</v>
      </c>
      <c r="L36" s="249">
        <f t="shared" si="2"/>
        <v>34.982562700894469</v>
      </c>
      <c r="M36" s="257">
        <f t="shared" si="2"/>
        <v>33.890106561282373</v>
      </c>
    </row>
    <row r="37" spans="1:14" ht="12.75" customHeight="1">
      <c r="A37" s="256">
        <f t="shared" si="3"/>
        <v>2015</v>
      </c>
      <c r="B37" s="273">
        <f t="shared" si="4"/>
        <v>41.591769698890189</v>
      </c>
      <c r="C37" s="249">
        <f t="shared" si="4"/>
        <v>43.330862572831485</v>
      </c>
      <c r="D37" s="249">
        <f t="shared" si="4"/>
        <v>43.94090788042061</v>
      </c>
      <c r="E37" s="249">
        <f t="shared" si="4"/>
        <v>40.748787617179914</v>
      </c>
      <c r="F37" s="249">
        <f t="shared" si="4"/>
        <v>39.431592133894689</v>
      </c>
      <c r="G37" s="273">
        <f t="shared" si="4"/>
        <v>39.9767646003219</v>
      </c>
      <c r="H37" s="249">
        <f t="shared" si="2"/>
        <v>51.296841167507438</v>
      </c>
      <c r="I37" s="249">
        <f t="shared" si="2"/>
        <v>53.780400709444443</v>
      </c>
      <c r="J37" s="249">
        <f t="shared" si="2"/>
        <v>46.536478558943742</v>
      </c>
      <c r="K37" s="273">
        <f t="shared" si="2"/>
        <v>43.489243725596225</v>
      </c>
      <c r="L37" s="249">
        <f t="shared" si="2"/>
        <v>40.383510758758256</v>
      </c>
      <c r="M37" s="257">
        <f t="shared" si="2"/>
        <v>41.884258040278155</v>
      </c>
    </row>
    <row r="38" spans="1:14" ht="12.75" customHeight="1">
      <c r="A38" s="256">
        <f t="shared" si="3"/>
        <v>2016</v>
      </c>
      <c r="B38" s="273">
        <f t="shared" ref="B38:M38" si="5">B14*0.57+B26*0.43</f>
        <v>46.494763032761249</v>
      </c>
      <c r="C38" s="249">
        <f t="shared" si="5"/>
        <v>44.996037259754928</v>
      </c>
      <c r="D38" s="249">
        <f t="shared" si="5"/>
        <v>48.509002964152216</v>
      </c>
      <c r="E38" s="249">
        <f t="shared" si="5"/>
        <v>45.670894750466857</v>
      </c>
      <c r="F38" s="249">
        <f t="shared" si="5"/>
        <v>44.964901971105704</v>
      </c>
      <c r="G38" s="273">
        <f t="shared" si="5"/>
        <v>43.911686714693566</v>
      </c>
      <c r="H38" s="249">
        <f t="shared" si="5"/>
        <v>56.683316809257121</v>
      </c>
      <c r="I38" s="249">
        <f t="shared" si="5"/>
        <v>58.905362839225418</v>
      </c>
      <c r="J38" s="249">
        <f t="shared" si="5"/>
        <v>51.638129258508144</v>
      </c>
      <c r="K38" s="273">
        <f t="shared" si="5"/>
        <v>46.784279127360612</v>
      </c>
      <c r="L38" s="249">
        <f t="shared" si="5"/>
        <v>40.556191775056305</v>
      </c>
      <c r="M38" s="257">
        <f t="shared" si="5"/>
        <v>44.266850727181378</v>
      </c>
    </row>
    <row r="39" spans="1:14" ht="12.75" customHeight="1">
      <c r="A39" s="256">
        <f t="shared" si="3"/>
        <v>2017</v>
      </c>
      <c r="B39" s="273">
        <f t="shared" ref="B39:M39" si="6">B15*0.57+B27*0.43</f>
        <v>28.943658041485371</v>
      </c>
      <c r="C39" s="249">
        <f t="shared" si="6"/>
        <v>27.941423747360346</v>
      </c>
      <c r="D39" s="249">
        <f t="shared" si="6"/>
        <v>33.222875889194427</v>
      </c>
      <c r="E39" s="249">
        <f t="shared" si="6"/>
        <v>34.058326643200374</v>
      </c>
      <c r="F39" s="249">
        <f t="shared" si="6"/>
        <v>33.310926980192775</v>
      </c>
      <c r="G39" s="273">
        <f t="shared" si="6"/>
        <v>32.904883730196289</v>
      </c>
      <c r="H39" s="249">
        <f t="shared" si="6"/>
        <v>44.834237645786772</v>
      </c>
      <c r="I39" s="249">
        <f t="shared" si="6"/>
        <v>47.038735234741395</v>
      </c>
      <c r="J39" s="249">
        <f t="shared" si="6"/>
        <v>38.38471837937832</v>
      </c>
      <c r="K39" s="273">
        <f t="shared" si="6"/>
        <v>34.919020637228925</v>
      </c>
      <c r="L39" s="249">
        <f t="shared" si="6"/>
        <v>29.497599056787376</v>
      </c>
      <c r="M39" s="257">
        <f t="shared" si="6"/>
        <v>32.136797462395762</v>
      </c>
    </row>
    <row r="40" spans="1:14" ht="12.75" customHeight="1">
      <c r="A40" s="256">
        <f t="shared" si="3"/>
        <v>2018</v>
      </c>
      <c r="B40" s="273">
        <f t="shared" ref="B40:M40" si="7">B16*0.57+B28*0.43</f>
        <v>31.889636682658903</v>
      </c>
      <c r="C40" s="249">
        <f t="shared" si="7"/>
        <v>30.105027004845791</v>
      </c>
      <c r="D40" s="249">
        <f t="shared" si="7"/>
        <v>33.391090272967851</v>
      </c>
      <c r="E40" s="249">
        <f t="shared" si="7"/>
        <v>34.97728265694446</v>
      </c>
      <c r="F40" s="249">
        <f t="shared" si="7"/>
        <v>35.853351854833377</v>
      </c>
      <c r="G40" s="273">
        <f t="shared" si="7"/>
        <v>40.214129025000659</v>
      </c>
      <c r="H40" s="249">
        <f t="shared" si="7"/>
        <v>53.534261963704736</v>
      </c>
      <c r="I40" s="249">
        <f t="shared" si="7"/>
        <v>55.103188458329399</v>
      </c>
      <c r="J40" s="249">
        <f t="shared" si="7"/>
        <v>44.336219222226902</v>
      </c>
      <c r="K40" s="273">
        <f t="shared" si="7"/>
        <v>39.979197627686517</v>
      </c>
      <c r="L40" s="249">
        <f t="shared" si="7"/>
        <v>35.509088477773801</v>
      </c>
      <c r="M40" s="257">
        <f t="shared" si="7"/>
        <v>35.396475729830954</v>
      </c>
    </row>
    <row r="41" spans="1:14" ht="12.75" customHeight="1">
      <c r="A41" s="256">
        <f t="shared" si="3"/>
        <v>2019</v>
      </c>
      <c r="B41" s="273">
        <f t="shared" ref="B41:M41" si="8">B17*0.57+B29*0.43</f>
        <v>54.155957830647694</v>
      </c>
      <c r="C41" s="249">
        <f t="shared" si="8"/>
        <v>55.224020967260032</v>
      </c>
      <c r="D41" s="249">
        <f t="shared" si="8"/>
        <v>56.182518623655582</v>
      </c>
      <c r="E41" s="249">
        <f t="shared" si="8"/>
        <v>59.292318461107214</v>
      </c>
      <c r="F41" s="249">
        <f t="shared" si="8"/>
        <v>58.96422356183497</v>
      </c>
      <c r="G41" s="273">
        <f t="shared" si="8"/>
        <v>69.967508322228497</v>
      </c>
      <c r="H41" s="249">
        <f t="shared" si="8"/>
        <v>81.708456821237419</v>
      </c>
      <c r="I41" s="249">
        <f t="shared" si="8"/>
        <v>82.490182983873737</v>
      </c>
      <c r="J41" s="249">
        <f t="shared" si="8"/>
        <v>69.272491329167778</v>
      </c>
      <c r="K41" s="273">
        <f t="shared" si="8"/>
        <v>63.388161697581637</v>
      </c>
      <c r="L41" s="249">
        <f t="shared" si="8"/>
        <v>66.873380391668434</v>
      </c>
      <c r="M41" s="257">
        <f t="shared" si="8"/>
        <v>57.31921906048899</v>
      </c>
    </row>
    <row r="42" spans="1:14" ht="12.75" hidden="1" customHeight="1">
      <c r="A42" s="256"/>
      <c r="B42" s="273"/>
      <c r="C42" s="249"/>
      <c r="D42" s="249"/>
      <c r="E42" s="249"/>
      <c r="F42" s="249"/>
      <c r="G42" s="273"/>
      <c r="H42" s="249"/>
      <c r="I42" s="249"/>
      <c r="J42" s="249"/>
      <c r="K42" s="273"/>
      <c r="L42" s="249"/>
      <c r="M42" s="257"/>
    </row>
    <row r="43" spans="1:14" ht="12.75" hidden="1" customHeight="1">
      <c r="A43" s="259"/>
      <c r="B43" s="274"/>
      <c r="C43" s="260"/>
      <c r="D43" s="260"/>
      <c r="E43" s="260"/>
      <c r="F43" s="260"/>
      <c r="G43" s="274"/>
      <c r="H43" s="260"/>
      <c r="I43" s="260"/>
      <c r="J43" s="260"/>
      <c r="K43" s="274"/>
      <c r="L43" s="260"/>
      <c r="M43" s="261"/>
    </row>
    <row r="44" spans="1:14" ht="12.75" customHeight="1">
      <c r="A44" s="277"/>
      <c r="B44" s="276"/>
      <c r="C44" s="276"/>
      <c r="D44" s="276"/>
      <c r="E44" s="277"/>
      <c r="F44" s="277"/>
      <c r="G44" s="277"/>
      <c r="H44" s="277"/>
      <c r="I44" s="277"/>
      <c r="J44" s="277"/>
      <c r="K44" s="278"/>
      <c r="L44" s="277"/>
      <c r="M44" s="277"/>
    </row>
    <row r="45" spans="1:14" ht="12.75" customHeight="1">
      <c r="A45" s="13" t="s">
        <v>78</v>
      </c>
      <c r="C45" s="248"/>
      <c r="D45" s="248"/>
      <c r="K45" s="279"/>
    </row>
    <row r="46" spans="1:14" ht="12.75" customHeight="1">
      <c r="A46" s="246" t="s">
        <v>3</v>
      </c>
      <c r="C46" s="247" t="s">
        <v>63</v>
      </c>
      <c r="D46" s="195"/>
      <c r="E46" s="196"/>
      <c r="F46" s="202"/>
      <c r="G46" s="247" t="s">
        <v>64</v>
      </c>
      <c r="H46" s="195"/>
      <c r="I46" s="196"/>
      <c r="J46" s="202"/>
      <c r="K46" s="247" t="s">
        <v>79</v>
      </c>
      <c r="L46" s="195"/>
      <c r="M46" s="196"/>
    </row>
    <row r="47" spans="1:14" s="202" customFormat="1" ht="12.75" customHeight="1">
      <c r="A47" s="107"/>
      <c r="C47" s="21" t="s">
        <v>96</v>
      </c>
      <c r="D47" s="22" t="s">
        <v>2</v>
      </c>
      <c r="E47" s="22" t="s">
        <v>11</v>
      </c>
      <c r="F47" s="107"/>
      <c r="G47" s="21" t="s">
        <v>96</v>
      </c>
      <c r="H47" s="22" t="s">
        <v>2</v>
      </c>
      <c r="I47" s="22" t="s">
        <v>11</v>
      </c>
      <c r="J47" s="107"/>
      <c r="K47" s="21" t="s">
        <v>96</v>
      </c>
      <c r="L47" s="22" t="s">
        <v>2</v>
      </c>
      <c r="M47" s="22" t="s">
        <v>11</v>
      </c>
      <c r="N47" s="223"/>
    </row>
    <row r="48" spans="1:14" s="202" customFormat="1" ht="12.75" customHeight="1">
      <c r="A48" s="264">
        <f>A10</f>
        <v>2012</v>
      </c>
      <c r="C48" s="184">
        <f>ROUND(AVERAGE(B10:F10,K10:M10),2)</f>
        <v>43.04</v>
      </c>
      <c r="D48" s="184">
        <f>ROUND(AVERAGE(B22:F22,K22:M22),2)</f>
        <v>23.48</v>
      </c>
      <c r="E48" s="184">
        <f>ROUND(AVERAGE(B34:F34,K34:M34),2)</f>
        <v>34.630000000000003</v>
      </c>
      <c r="G48" s="249">
        <f>ROUND(AVERAGE(G10:J10),2)</f>
        <v>44.46</v>
      </c>
      <c r="H48" s="249">
        <f>ROUND(AVERAGE(G22:J22),2)</f>
        <v>24.9</v>
      </c>
      <c r="I48" s="249">
        <f>ROUND(AVERAGE(G34:J34),2)</f>
        <v>36.049999999999997</v>
      </c>
      <c r="K48" s="184">
        <f>ROUND(AVERAGE(B10:M10),2)</f>
        <v>43.75</v>
      </c>
      <c r="L48" s="184">
        <f>ROUND(AVERAGE(B22:M22),2)</f>
        <v>24.19</v>
      </c>
      <c r="M48" s="184">
        <f>ROUND(AVERAGE(B34:M34),2)</f>
        <v>35.340000000000003</v>
      </c>
    </row>
    <row r="49" spans="1:16" s="202" customFormat="1" ht="12.75" customHeight="1">
      <c r="A49" s="264">
        <f>A11</f>
        <v>2013</v>
      </c>
      <c r="C49" s="184">
        <f>ROUND(AVERAGE(B11:F11,K11:M11),2)</f>
        <v>39.29</v>
      </c>
      <c r="D49" s="184">
        <f>ROUND(AVERAGE(B23:F23,K23:M23),2)</f>
        <v>26.74</v>
      </c>
      <c r="E49" s="184">
        <f>ROUND(AVERAGE(B35:F35,K35:M35),2)</f>
        <v>33.9</v>
      </c>
      <c r="G49" s="249">
        <f>ROUND(AVERAGE(G11:J11),2)</f>
        <v>42.83</v>
      </c>
      <c r="H49" s="249">
        <f>ROUND(AVERAGE(G23:J23),2)</f>
        <v>30.28</v>
      </c>
      <c r="I49" s="249">
        <f>ROUND(AVERAGE(G35:J35),2)</f>
        <v>37.43</v>
      </c>
      <c r="K49" s="184">
        <f>ROUND(AVERAGE(B11:M11),2)</f>
        <v>40.47</v>
      </c>
      <c r="L49" s="184">
        <f>ROUND(AVERAGE(B23:M23),2)</f>
        <v>27.92</v>
      </c>
      <c r="M49" s="184">
        <f>ROUND(AVERAGE(B35:M35),2)</f>
        <v>35.08</v>
      </c>
    </row>
    <row r="50" spans="1:16" s="202" customFormat="1" ht="12.75" customHeight="1">
      <c r="A50" s="264">
        <f>A12</f>
        <v>2014</v>
      </c>
      <c r="C50" s="184">
        <f>ROUND(AVERAGE(B12:F12,K12:M12),2)</f>
        <v>48.11</v>
      </c>
      <c r="D50" s="184">
        <f>ROUND(AVERAGE(B24:F24,K24:M24),2)</f>
        <v>27.65</v>
      </c>
      <c r="E50" s="184">
        <f>ROUND(AVERAGE(B36:F36,K36:M36),2)</f>
        <v>39.32</v>
      </c>
      <c r="G50" s="249">
        <f>ROUND(AVERAGE(G12:J12),2)</f>
        <v>52.71</v>
      </c>
      <c r="H50" s="249">
        <f>ROUND(AVERAGE(G24:J24),2)</f>
        <v>32.25</v>
      </c>
      <c r="I50" s="249">
        <f>ROUND(AVERAGE(G36:J36),2)</f>
        <v>43.91</v>
      </c>
      <c r="K50" s="184">
        <f>ROUND(AVERAGE(B12:M12),2)</f>
        <v>49.65</v>
      </c>
      <c r="L50" s="184">
        <f>ROUND(AVERAGE(B24:M24),2)</f>
        <v>29.19</v>
      </c>
      <c r="M50" s="184">
        <f>ROUND(AVERAGE(B36:M36),2)</f>
        <v>40.85</v>
      </c>
    </row>
    <row r="51" spans="1:16" s="202" customFormat="1" ht="12.75" customHeight="1">
      <c r="A51" s="264">
        <f>A13</f>
        <v>2015</v>
      </c>
      <c r="C51" s="184">
        <f>ROUND(AVERAGE(B13:F13,K13:M13),2)</f>
        <v>50.82</v>
      </c>
      <c r="D51" s="184">
        <f>ROUND(AVERAGE(B25:F25,K25:M25),2)</f>
        <v>29.95</v>
      </c>
      <c r="E51" s="184">
        <f>ROUND(AVERAGE(B37:F37,K37:M37),2)</f>
        <v>41.85</v>
      </c>
      <c r="G51" s="249">
        <f>ROUND(AVERAGE(G13:J13),2)</f>
        <v>56.87</v>
      </c>
      <c r="H51" s="249">
        <f>ROUND(AVERAGE(G25:J25),2)</f>
        <v>36</v>
      </c>
      <c r="I51" s="249">
        <f>ROUND(AVERAGE(G37:J37),2)</f>
        <v>47.9</v>
      </c>
      <c r="K51" s="184">
        <f>ROUND(AVERAGE(B13:M13),2)</f>
        <v>52.84</v>
      </c>
      <c r="L51" s="184">
        <f>ROUND(AVERAGE(B25:M25),2)</f>
        <v>31.97</v>
      </c>
      <c r="M51" s="184">
        <f>ROUND(AVERAGE(B37:M37),2)</f>
        <v>43.87</v>
      </c>
    </row>
    <row r="52" spans="1:16" s="202" customFormat="1" ht="12.75" customHeight="1">
      <c r="A52" s="264">
        <f t="shared" ref="A52:A55" si="9">A14</f>
        <v>2016</v>
      </c>
      <c r="C52" s="184">
        <f t="shared" ref="C52" si="10">ROUND(AVERAGE(B14:F14,K14:M14),2)</f>
        <v>56.16</v>
      </c>
      <c r="D52" s="184">
        <f t="shared" ref="D52" si="11">ROUND(AVERAGE(B26:F26,K26:M26),2)</f>
        <v>30.87</v>
      </c>
      <c r="E52" s="184">
        <f t="shared" ref="E52" si="12">ROUND(AVERAGE(B38:F38,K38:M38),2)</f>
        <v>45.28</v>
      </c>
      <c r="G52" s="249">
        <f t="shared" ref="G52" si="13">ROUND(AVERAGE(G14:J14),2)</f>
        <v>63.66</v>
      </c>
      <c r="H52" s="249">
        <f t="shared" ref="H52" si="14">ROUND(AVERAGE(G26:J26),2)</f>
        <v>38.369999999999997</v>
      </c>
      <c r="I52" s="249">
        <f t="shared" ref="I52" si="15">ROUND(AVERAGE(G38:J38),2)</f>
        <v>52.78</v>
      </c>
      <c r="K52" s="184">
        <f t="shared" ref="K52" si="16">ROUND(AVERAGE(B14:M14),2)</f>
        <v>58.66</v>
      </c>
      <c r="L52" s="184">
        <f t="shared" ref="L52" si="17">ROUND(AVERAGE(B26:M26),2)</f>
        <v>33.369999999999997</v>
      </c>
      <c r="M52" s="184">
        <f t="shared" ref="M52" si="18">ROUND(AVERAGE(B38:M38),2)</f>
        <v>47.78</v>
      </c>
    </row>
    <row r="53" spans="1:16" s="202" customFormat="1" ht="12.75" customHeight="1">
      <c r="A53" s="264">
        <f t="shared" si="9"/>
        <v>2017</v>
      </c>
      <c r="C53" s="184">
        <f t="shared" ref="C53:C55" si="19">ROUND(AVERAGE(B15:F15,K15:M15),2)</f>
        <v>31.75</v>
      </c>
      <c r="D53" s="184">
        <f t="shared" ref="D53:D55" si="20">ROUND(AVERAGE(B27:F27,K27:M27),2)</f>
        <v>31.75</v>
      </c>
      <c r="E53" s="184">
        <f t="shared" ref="E53:E55" si="21">ROUND(AVERAGE(B39:F39,K39:M39),2)</f>
        <v>31.75</v>
      </c>
      <c r="G53" s="249">
        <f t="shared" ref="G53:G55" si="22">ROUND(AVERAGE(G15:J15),2)</f>
        <v>40.79</v>
      </c>
      <c r="H53" s="249">
        <f t="shared" ref="H53:H55" si="23">ROUND(AVERAGE(G27:J27),2)</f>
        <v>40.79</v>
      </c>
      <c r="I53" s="249">
        <f t="shared" ref="I53:I55" si="24">ROUND(AVERAGE(G39:J39),2)</f>
        <v>40.79</v>
      </c>
      <c r="K53" s="184">
        <f t="shared" ref="K53:K55" si="25">ROUND(AVERAGE(B15:M15),2)</f>
        <v>34.770000000000003</v>
      </c>
      <c r="L53" s="184">
        <f t="shared" ref="L53:L55" si="26">ROUND(AVERAGE(B27:M27),2)</f>
        <v>34.770000000000003</v>
      </c>
      <c r="M53" s="184">
        <f t="shared" ref="M53:M55" si="27">ROUND(AVERAGE(B39:M39),2)</f>
        <v>34.770000000000003</v>
      </c>
    </row>
    <row r="54" spans="1:16" s="202" customFormat="1" ht="12.75" customHeight="1">
      <c r="A54" s="264">
        <f t="shared" si="9"/>
        <v>2018</v>
      </c>
      <c r="C54" s="184">
        <f t="shared" si="19"/>
        <v>34.64</v>
      </c>
      <c r="D54" s="184">
        <f t="shared" si="20"/>
        <v>34.64</v>
      </c>
      <c r="E54" s="184">
        <f t="shared" si="21"/>
        <v>34.64</v>
      </c>
      <c r="G54" s="249">
        <f t="shared" si="22"/>
        <v>48.3</v>
      </c>
      <c r="H54" s="249">
        <f t="shared" si="23"/>
        <v>48.3</v>
      </c>
      <c r="I54" s="249">
        <f t="shared" si="24"/>
        <v>48.3</v>
      </c>
      <c r="K54" s="184">
        <f t="shared" si="25"/>
        <v>39.19</v>
      </c>
      <c r="L54" s="184">
        <f t="shared" si="26"/>
        <v>39.19</v>
      </c>
      <c r="M54" s="184">
        <f t="shared" si="27"/>
        <v>39.19</v>
      </c>
    </row>
    <row r="55" spans="1:16" s="202" customFormat="1" ht="12.75" customHeight="1">
      <c r="A55" s="264">
        <f t="shared" si="9"/>
        <v>2019</v>
      </c>
      <c r="C55" s="184">
        <f t="shared" si="19"/>
        <v>73.7</v>
      </c>
      <c r="D55" s="184">
        <f t="shared" si="20"/>
        <v>39.340000000000003</v>
      </c>
      <c r="E55" s="184">
        <f t="shared" si="21"/>
        <v>58.92</v>
      </c>
      <c r="G55" s="249">
        <f t="shared" si="22"/>
        <v>90.63</v>
      </c>
      <c r="H55" s="249">
        <f t="shared" si="23"/>
        <v>56.27</v>
      </c>
      <c r="I55" s="249">
        <f t="shared" si="24"/>
        <v>75.86</v>
      </c>
      <c r="K55" s="184">
        <f t="shared" si="25"/>
        <v>79.34</v>
      </c>
      <c r="L55" s="184">
        <f t="shared" si="26"/>
        <v>44.98</v>
      </c>
      <c r="M55" s="184">
        <f t="shared" si="27"/>
        <v>64.569999999999993</v>
      </c>
    </row>
    <row r="56" spans="1:16" s="202" customFormat="1" ht="12.75" hidden="1" customHeight="1">
      <c r="A56" s="264"/>
      <c r="C56" s="184"/>
      <c r="D56" s="184"/>
      <c r="E56" s="184"/>
      <c r="G56" s="249"/>
      <c r="H56" s="249"/>
      <c r="I56" s="249"/>
      <c r="K56" s="184"/>
      <c r="L56" s="184"/>
      <c r="M56" s="184"/>
    </row>
    <row r="57" spans="1:16" s="202" customFormat="1" ht="12.75" hidden="1" customHeight="1">
      <c r="A57" s="264"/>
      <c r="C57" s="184"/>
      <c r="D57" s="184"/>
      <c r="E57" s="184"/>
      <c r="G57" s="249"/>
      <c r="H57" s="249"/>
      <c r="I57" s="249"/>
      <c r="K57" s="184"/>
      <c r="L57" s="184"/>
      <c r="M57" s="184"/>
    </row>
    <row r="58" spans="1:16" s="202" customFormat="1" ht="12.75" customHeight="1">
      <c r="A58" s="280"/>
      <c r="K58" s="279"/>
    </row>
    <row r="59" spans="1:16" s="202" customFormat="1" ht="12.75" customHeight="1">
      <c r="A59" s="98" t="s">
        <v>98</v>
      </c>
      <c r="D59" s="184"/>
      <c r="E59" s="249"/>
      <c r="F59" s="249"/>
      <c r="G59" s="249"/>
      <c r="J59" s="249"/>
      <c r="K59" s="249"/>
    </row>
    <row r="60" spans="1:16" ht="12.75" customHeight="1">
      <c r="A60" s="98" t="s">
        <v>96</v>
      </c>
      <c r="B60" s="202" t="str">
        <f>"Off-Peak energy cost plus on-peak capacity cost from "&amp;'Tables 3 to 6'!$U$1&amp;"  Column "&amp;'Tables 3 to 6'!$X$8</f>
        <v>Off-Peak energy cost plus on-peak capacity cost from Table 6  Column (c)</v>
      </c>
      <c r="C60" s="202"/>
      <c r="D60" s="184"/>
      <c r="E60" s="249"/>
      <c r="F60" s="249"/>
      <c r="G60" s="249"/>
      <c r="H60" s="202"/>
      <c r="N60" s="202"/>
      <c r="O60" s="202"/>
      <c r="P60" s="202"/>
    </row>
    <row r="61" spans="1:16" ht="12.75" customHeight="1">
      <c r="A61" s="98" t="s">
        <v>2</v>
      </c>
      <c r="B61" s="281" t="s">
        <v>165</v>
      </c>
      <c r="C61" s="202"/>
      <c r="D61" s="202"/>
      <c r="E61" s="202"/>
      <c r="F61" s="202"/>
      <c r="G61" s="202"/>
      <c r="N61" s="202"/>
      <c r="O61" s="202"/>
      <c r="P61" s="202"/>
    </row>
    <row r="62" spans="1:16" ht="12.75" customHeight="1">
      <c r="A62" s="98" t="s">
        <v>11</v>
      </c>
      <c r="B62" s="98" t="s">
        <v>97</v>
      </c>
      <c r="C62" s="202"/>
      <c r="D62" s="202"/>
      <c r="E62" s="202"/>
      <c r="F62" s="202"/>
      <c r="G62" s="202"/>
    </row>
    <row r="83" ht="24.75" customHeight="1"/>
  </sheetData>
  <phoneticPr fontId="6" type="noConversion"/>
  <printOptions horizontalCentered="1"/>
  <pageMargins left="0.25" right="0.25" top="0.75" bottom="0.75" header="0.3" footer="0.3"/>
  <pageSetup scale="84" fitToWidth="0" orientation="portrait" r:id="rId1"/>
  <headerFooter alignWithMargins="0">
    <oddFooter>&amp;L&amp;8NPC Group - &amp;F   ( &amp;A )&amp;C &amp;R 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1:AA46"/>
  <sheetViews>
    <sheetView showGridLines="0" zoomScale="80" zoomScaleNormal="80" zoomScaleSheetLayoutView="100" workbookViewId="0">
      <selection activeCell="K19" sqref="K19"/>
    </sheetView>
  </sheetViews>
  <sheetFormatPr defaultRowHeight="12.75"/>
  <cols>
    <col min="1" max="1" width="1.6640625" style="98" customWidth="1"/>
    <col min="2" max="2" width="12.1640625" style="98" customWidth="1"/>
    <col min="3" max="6" width="20" style="98" customWidth="1"/>
    <col min="7" max="7" width="1.6640625" style="202" customWidth="1"/>
    <col min="8" max="8" width="12.1640625" style="98" customWidth="1"/>
    <col min="9" max="12" width="20" style="98" customWidth="1"/>
    <col min="13" max="13" width="1.6640625" style="202" customWidth="1"/>
    <col min="14" max="14" width="10.5" style="98" customWidth="1"/>
    <col min="15" max="19" width="16" style="98" customWidth="1"/>
    <col min="20" max="20" width="1.6640625" style="202" customWidth="1"/>
    <col min="21" max="21" width="10.5" style="98" customWidth="1"/>
    <col min="22" max="26" width="16" style="98" customWidth="1"/>
    <col min="27" max="16384" width="9.33203125" style="98"/>
  </cols>
  <sheetData>
    <row r="1" spans="2:26" s="5" customFormat="1" ht="15.75">
      <c r="B1" s="1" t="s">
        <v>36</v>
      </c>
      <c r="C1" s="1"/>
      <c r="D1" s="1"/>
      <c r="E1" s="1"/>
      <c r="F1" s="1"/>
      <c r="G1" s="8"/>
      <c r="H1" s="1" t="s">
        <v>37</v>
      </c>
      <c r="I1" s="1"/>
      <c r="J1" s="1"/>
      <c r="K1" s="1"/>
      <c r="L1" s="1"/>
      <c r="M1" s="9"/>
      <c r="N1" s="1" t="s">
        <v>38</v>
      </c>
      <c r="O1" s="6"/>
      <c r="P1" s="1"/>
      <c r="Q1" s="1"/>
      <c r="R1" s="1"/>
      <c r="S1" s="1"/>
      <c r="T1" s="9"/>
      <c r="U1" s="1" t="s">
        <v>39</v>
      </c>
      <c r="V1" s="6"/>
      <c r="W1" s="1"/>
      <c r="X1" s="1"/>
      <c r="Y1" s="1"/>
      <c r="Z1" s="6"/>
    </row>
    <row r="2" spans="2:26" s="7" customFormat="1" ht="15">
      <c r="B2" s="3" t="s">
        <v>17</v>
      </c>
      <c r="C2" s="3"/>
      <c r="D2" s="3"/>
      <c r="E2" s="3"/>
      <c r="F2" s="3"/>
      <c r="G2" s="9"/>
      <c r="H2" s="3" t="s">
        <v>18</v>
      </c>
      <c r="I2" s="3"/>
      <c r="J2" s="3"/>
      <c r="K2" s="3"/>
      <c r="L2" s="3"/>
      <c r="M2" s="9"/>
      <c r="N2" s="3" t="s">
        <v>21</v>
      </c>
      <c r="O2" s="3"/>
      <c r="P2" s="3"/>
      <c r="Q2" s="3"/>
      <c r="R2" s="3"/>
      <c r="S2" s="3"/>
      <c r="T2" s="9"/>
      <c r="U2" s="3" t="s">
        <v>33</v>
      </c>
      <c r="V2" s="3"/>
      <c r="W2" s="3"/>
      <c r="X2" s="3"/>
      <c r="Y2" s="3"/>
      <c r="Z2" s="3"/>
    </row>
    <row r="3" spans="2:26">
      <c r="G3" s="107"/>
      <c r="M3" s="107"/>
      <c r="T3" s="107"/>
    </row>
    <row r="4" spans="2:26">
      <c r="B4" s="205"/>
      <c r="C4" s="231" t="s">
        <v>133</v>
      </c>
      <c r="D4" s="209" t="s">
        <v>4</v>
      </c>
      <c r="E4" s="232"/>
      <c r="F4" s="233" t="s">
        <v>10</v>
      </c>
      <c r="G4" s="107"/>
      <c r="H4" s="234"/>
      <c r="I4" s="206"/>
      <c r="J4" s="206"/>
      <c r="K4" s="233" t="s">
        <v>10</v>
      </c>
      <c r="L4" s="206" t="s">
        <v>16</v>
      </c>
      <c r="M4" s="107"/>
      <c r="N4" s="205"/>
      <c r="O4" s="232" t="s">
        <v>28</v>
      </c>
      <c r="P4" s="209" t="s">
        <v>16</v>
      </c>
      <c r="Q4" s="206" t="s">
        <v>19</v>
      </c>
      <c r="R4" s="206"/>
      <c r="S4" s="206"/>
      <c r="T4" s="107"/>
      <c r="U4" s="205"/>
      <c r="V4" s="231" t="s">
        <v>28</v>
      </c>
      <c r="W4" s="232" t="s">
        <v>30</v>
      </c>
      <c r="X4" s="209" t="s">
        <v>16</v>
      </c>
      <c r="Y4" s="232" t="s">
        <v>1</v>
      </c>
      <c r="Z4" s="232" t="s">
        <v>2</v>
      </c>
    </row>
    <row r="5" spans="2:26">
      <c r="B5" s="212" t="s">
        <v>3</v>
      </c>
      <c r="C5" s="235" t="s">
        <v>12</v>
      </c>
      <c r="D5" s="235" t="s">
        <v>12</v>
      </c>
      <c r="E5" s="212" t="s">
        <v>7</v>
      </c>
      <c r="F5" s="211" t="s">
        <v>8</v>
      </c>
      <c r="G5" s="107"/>
      <c r="H5" s="208" t="s">
        <v>3</v>
      </c>
      <c r="I5" s="212" t="s">
        <v>131</v>
      </c>
      <c r="J5" s="212" t="s">
        <v>14</v>
      </c>
      <c r="K5" s="211" t="s">
        <v>8</v>
      </c>
      <c r="L5" s="236" t="s">
        <v>15</v>
      </c>
      <c r="M5" s="107"/>
      <c r="N5" s="212" t="s">
        <v>3</v>
      </c>
      <c r="O5" s="212" t="s">
        <v>29</v>
      </c>
      <c r="P5" s="235" t="s">
        <v>15</v>
      </c>
      <c r="Q5" s="218" t="s">
        <v>20</v>
      </c>
      <c r="R5" s="237"/>
      <c r="S5" s="219"/>
      <c r="T5" s="107"/>
      <c r="U5" s="212" t="s">
        <v>3</v>
      </c>
      <c r="V5" s="208" t="s">
        <v>29</v>
      </c>
      <c r="W5" s="212" t="s">
        <v>31</v>
      </c>
      <c r="X5" s="235" t="s">
        <v>15</v>
      </c>
      <c r="Y5" s="212" t="str">
        <f>TEXT((0.57*8760),"0,000")&amp;" Hours"</f>
        <v>4,993 Hours</v>
      </c>
      <c r="Z5" s="212" t="str">
        <f>TEXT((0.43*8760),"0,000")&amp;" Hours"</f>
        <v>3,767 Hours</v>
      </c>
    </row>
    <row r="6" spans="2:26">
      <c r="B6" s="238"/>
      <c r="C6" s="208" t="s">
        <v>5</v>
      </c>
      <c r="D6" s="235" t="s">
        <v>5</v>
      </c>
      <c r="E6" s="212" t="s">
        <v>8</v>
      </c>
      <c r="F6" s="239" t="str">
        <f>TEXT('Table 8'!$D$126,"0.0%")&amp;" CF"</f>
        <v>50.3% CF</v>
      </c>
      <c r="G6" s="223"/>
      <c r="H6" s="213"/>
      <c r="I6" s="221" t="s">
        <v>132</v>
      </c>
      <c r="J6" s="53"/>
      <c r="K6" s="239" t="str">
        <f>F6</f>
        <v>50.3% CF</v>
      </c>
      <c r="L6" s="236" t="s">
        <v>14</v>
      </c>
      <c r="M6" s="223"/>
      <c r="N6" s="238"/>
      <c r="O6" s="212" t="s">
        <v>9</v>
      </c>
      <c r="P6" s="235" t="s">
        <v>14</v>
      </c>
      <c r="Q6" s="240">
        <v>0.75</v>
      </c>
      <c r="R6" s="240">
        <v>0.85</v>
      </c>
      <c r="S6" s="240">
        <v>0.95</v>
      </c>
      <c r="T6" s="223"/>
      <c r="U6" s="238"/>
      <c r="V6" s="208" t="s">
        <v>9</v>
      </c>
      <c r="W6" s="212" t="s">
        <v>0</v>
      </c>
      <c r="X6" s="235" t="s">
        <v>14</v>
      </c>
      <c r="Y6" s="212"/>
      <c r="Z6" s="212"/>
    </row>
    <row r="7" spans="2:26">
      <c r="B7" s="241"/>
      <c r="C7" s="242" t="s">
        <v>6</v>
      </c>
      <c r="D7" s="243" t="s">
        <v>6</v>
      </c>
      <c r="E7" s="242" t="s">
        <v>6</v>
      </c>
      <c r="F7" s="244" t="s">
        <v>142</v>
      </c>
      <c r="G7" s="223"/>
      <c r="H7" s="241"/>
      <c r="I7" s="245" t="s">
        <v>13</v>
      </c>
      <c r="J7" s="221" t="s">
        <v>142</v>
      </c>
      <c r="K7" s="246" t="s">
        <v>142</v>
      </c>
      <c r="L7" s="207" t="s">
        <v>142</v>
      </c>
      <c r="M7" s="223"/>
      <c r="N7" s="241"/>
      <c r="O7" s="242" t="s">
        <v>6</v>
      </c>
      <c r="P7" s="247" t="s">
        <v>142</v>
      </c>
      <c r="Q7" s="246" t="s">
        <v>142</v>
      </c>
      <c r="R7" s="246" t="s">
        <v>142</v>
      </c>
      <c r="S7" s="246" t="s">
        <v>142</v>
      </c>
      <c r="T7" s="223"/>
      <c r="U7" s="241"/>
      <c r="V7" s="243" t="s">
        <v>6</v>
      </c>
      <c r="W7" s="246" t="s">
        <v>142</v>
      </c>
      <c r="X7" s="247" t="s">
        <v>142</v>
      </c>
      <c r="Y7" s="246" t="s">
        <v>142</v>
      </c>
      <c r="Z7" s="246" t="s">
        <v>142</v>
      </c>
    </row>
    <row r="8" spans="2:26">
      <c r="C8" s="223" t="s">
        <v>23</v>
      </c>
      <c r="D8" s="222" t="s">
        <v>24</v>
      </c>
      <c r="E8" s="223" t="s">
        <v>25</v>
      </c>
      <c r="F8" s="223" t="s">
        <v>26</v>
      </c>
      <c r="I8" s="223" t="s">
        <v>23</v>
      </c>
      <c r="J8" s="223" t="s">
        <v>24</v>
      </c>
      <c r="K8" s="223" t="s">
        <v>25</v>
      </c>
      <c r="L8" s="222" t="s">
        <v>26</v>
      </c>
      <c r="O8" s="223" t="s">
        <v>23</v>
      </c>
      <c r="P8" s="222" t="s">
        <v>24</v>
      </c>
      <c r="Q8" s="223" t="s">
        <v>25</v>
      </c>
      <c r="R8" s="223" t="s">
        <v>26</v>
      </c>
      <c r="S8" s="223" t="s">
        <v>27</v>
      </c>
      <c r="V8" s="223" t="s">
        <v>23</v>
      </c>
      <c r="W8" s="222" t="s">
        <v>24</v>
      </c>
      <c r="X8" s="223" t="s">
        <v>25</v>
      </c>
      <c r="Y8" s="223" t="s">
        <v>26</v>
      </c>
      <c r="Z8" s="223" t="s">
        <v>27</v>
      </c>
    </row>
    <row r="9" spans="2:26">
      <c r="C9" s="223"/>
      <c r="D9" s="223"/>
      <c r="E9" s="4" t="str">
        <f>"("&amp;C8&amp;" - "&amp;D8&amp;") x 50%)"</f>
        <v>((a) - (b)) x 50%)</v>
      </c>
      <c r="F9" s="4" t="str">
        <f>E8&amp;"/(8.760 x "&amp;TEXT('Table 8'!$D$126,"0.0%")&amp;")"</f>
        <v>(c)/(8.760 x 50.3%)</v>
      </c>
      <c r="I9" s="223"/>
      <c r="K9" s="223"/>
      <c r="L9" s="10" t="str">
        <f>J8&amp;" + "&amp;K8</f>
        <v>(b) + (c)</v>
      </c>
      <c r="O9" s="11"/>
      <c r="P9" s="223"/>
      <c r="Q9" s="12" t="str">
        <f>" "&amp;$P$8&amp;"+("&amp;$O$8&amp;"/8.76 x "&amp;$Q$6&amp;")"</f>
        <v xml:space="preserve"> (b)+((a)/8.76 x 0.75)</v>
      </c>
      <c r="R9" s="12" t="str">
        <f>" "&amp;$P$8&amp;"+("&amp;$O$8&amp;"/8.76 x "&amp;$R$6&amp;")"</f>
        <v xml:space="preserve"> (b)+((a)/8.76 x 0.85)</v>
      </c>
      <c r="S9" s="12" t="str">
        <f>" "&amp;$P$8&amp;"+("&amp;$O$8&amp;"/8.76 x "&amp;$S$6&amp;")"</f>
        <v xml:space="preserve"> (b)+((a)/8.76 x 0.95)</v>
      </c>
      <c r="V9" s="11"/>
      <c r="W9" s="4" t="str">
        <f>" "&amp;V8&amp;" /(8.76 x "&amp;TEXT('Table 8'!D127,"0.0%")&amp;" x 57%)"</f>
        <v xml:space="preserve"> (a) /(8.76 x 88.2% x 57%)</v>
      </c>
      <c r="X9" s="223"/>
      <c r="Y9" s="4" t="str">
        <f>W8&amp;" + "&amp;X8</f>
        <v>(b) + (c)</v>
      </c>
      <c r="Z9" s="4" t="str">
        <f>W8</f>
        <v>(b)</v>
      </c>
    </row>
    <row r="10" spans="2:26">
      <c r="C10" s="248"/>
      <c r="D10" s="248"/>
    </row>
    <row r="11" spans="2:26" s="202" customFormat="1">
      <c r="B11" s="13" t="s">
        <v>69</v>
      </c>
      <c r="C11" s="249"/>
      <c r="D11" s="52" t="s">
        <v>94</v>
      </c>
      <c r="E11" s="250"/>
      <c r="F11" s="249"/>
      <c r="G11" s="249"/>
      <c r="H11" s="13" t="s">
        <v>69</v>
      </c>
      <c r="I11" s="226"/>
      <c r="K11" s="226"/>
      <c r="L11" s="226"/>
      <c r="M11" s="249"/>
      <c r="N11" s="13" t="s">
        <v>69</v>
      </c>
      <c r="O11" s="249"/>
      <c r="P11" s="226"/>
      <c r="Q11" s="226"/>
      <c r="R11" s="226"/>
      <c r="S11" s="226"/>
      <c r="T11" s="249"/>
      <c r="U11" s="13" t="s">
        <v>69</v>
      </c>
      <c r="V11" s="249"/>
      <c r="W11" s="226"/>
      <c r="X11" s="226"/>
      <c r="Y11" s="226"/>
      <c r="Z11" s="226"/>
    </row>
    <row r="12" spans="2:26" s="202" customFormat="1">
      <c r="B12" s="251">
        <v>2012</v>
      </c>
      <c r="C12" s="252"/>
      <c r="D12" s="252">
        <f>+INDEX('Table 8'!$H$10:$H$36,MATCH($B12,'Table 8'!$B$10:$B$36,0))*INDEX('Table 11'!$C$21:$C$30,MATCH($B12,'Table 11'!$B$21:$B$30,0))/12</f>
        <v>43.426666666666669</v>
      </c>
      <c r="E12" s="252"/>
      <c r="F12" s="253"/>
      <c r="G12" s="249"/>
      <c r="H12" s="251">
        <f>$B12</f>
        <v>2012</v>
      </c>
      <c r="I12" s="254"/>
      <c r="J12" s="254"/>
      <c r="K12" s="254"/>
      <c r="L12" s="255">
        <f>'Table 2'!L48</f>
        <v>24.19</v>
      </c>
      <c r="M12" s="249"/>
      <c r="N12" s="251">
        <f>$B12</f>
        <v>2012</v>
      </c>
      <c r="O12" s="252">
        <f>D12</f>
        <v>43.426666666666669</v>
      </c>
      <c r="P12" s="254">
        <f>L12</f>
        <v>24.19</v>
      </c>
      <c r="Q12" s="254">
        <f>ROUND($P12+$O12/(4.416*Q$6),2)</f>
        <v>37.299999999999997</v>
      </c>
      <c r="R12" s="254">
        <f>ROUND($P12+$O12/(4.416*R$6),2)</f>
        <v>35.76</v>
      </c>
      <c r="S12" s="255">
        <f>ROUND($P12+$O12/(4.416*S$6),2)</f>
        <v>34.54</v>
      </c>
      <c r="T12" s="249"/>
      <c r="U12" s="251">
        <f>$B12</f>
        <v>2012</v>
      </c>
      <c r="V12" s="252">
        <f>D12</f>
        <v>43.426666666666669</v>
      </c>
      <c r="W12" s="254">
        <f>ROUND(V12/(4.416*'Table 8'!$D$127*0.57),2)</f>
        <v>19.559999999999999</v>
      </c>
      <c r="X12" s="254">
        <f>L12</f>
        <v>24.19</v>
      </c>
      <c r="Y12" s="254">
        <f>W12+X12</f>
        <v>43.75</v>
      </c>
      <c r="Z12" s="255">
        <f>X12</f>
        <v>24.19</v>
      </c>
    </row>
    <row r="13" spans="2:26" s="202" customFormat="1">
      <c r="B13" s="256">
        <f>B12+1</f>
        <v>2013</v>
      </c>
      <c r="C13" s="249"/>
      <c r="D13" s="249">
        <f>+INDEX('Table 8'!$H$10:$H$36,MATCH($B13,'Table 8'!$B$10:$B$36,0))*INDEX('Table 11'!$C$21:$C$30,MATCH($B13,'Table 11'!$B$21:$B$30,0))/12</f>
        <v>55.258333333333333</v>
      </c>
      <c r="E13" s="250"/>
      <c r="F13" s="257"/>
      <c r="G13" s="249"/>
      <c r="H13" s="256">
        <f>$B13</f>
        <v>2013</v>
      </c>
      <c r="I13" s="226"/>
      <c r="J13" s="226"/>
      <c r="K13" s="226"/>
      <c r="L13" s="258">
        <f>'Table 2'!L49</f>
        <v>27.92</v>
      </c>
      <c r="M13" s="249"/>
      <c r="N13" s="256">
        <f>$B13</f>
        <v>2013</v>
      </c>
      <c r="O13" s="249">
        <f>D13</f>
        <v>55.258333333333333</v>
      </c>
      <c r="P13" s="226">
        <f>L13</f>
        <v>27.92</v>
      </c>
      <c r="Q13" s="226">
        <f t="shared" ref="Q13:S19" si="0">ROUND($P13+$O13/(8.76*Q$6),2)</f>
        <v>36.33</v>
      </c>
      <c r="R13" s="226">
        <f t="shared" si="0"/>
        <v>35.340000000000003</v>
      </c>
      <c r="S13" s="258">
        <f t="shared" si="0"/>
        <v>34.56</v>
      </c>
      <c r="T13" s="249"/>
      <c r="U13" s="256">
        <f t="shared" ref="U13:U19" si="1">$B13</f>
        <v>2013</v>
      </c>
      <c r="V13" s="249">
        <f t="shared" ref="V13:V19" si="2">D13</f>
        <v>55.258333333333333</v>
      </c>
      <c r="W13" s="226">
        <f>ROUND(V13/(8.76*'Table 8'!$D$127*0.57),2)</f>
        <v>12.55</v>
      </c>
      <c r="X13" s="226">
        <f t="shared" ref="X13:X19" si="3">L13</f>
        <v>27.92</v>
      </c>
      <c r="Y13" s="226">
        <f t="shared" ref="Y13:Y19" si="4">W13+X13</f>
        <v>40.47</v>
      </c>
      <c r="Z13" s="258">
        <f t="shared" ref="Z13:Z19" si="5">X13</f>
        <v>27.92</v>
      </c>
    </row>
    <row r="14" spans="2:26" s="202" customFormat="1">
      <c r="B14" s="256">
        <f>B13+1</f>
        <v>2014</v>
      </c>
      <c r="C14" s="249"/>
      <c r="D14" s="249">
        <f>+INDEX('Table 8'!$H$10:$H$36,MATCH($B14,'Table 8'!$B$10:$B$36,0))*INDEX('Table 11'!$C$21:$C$30,MATCH($B14,'Table 11'!$B$21:$B$30,0))/12</f>
        <v>90.09333333333332</v>
      </c>
      <c r="E14" s="250"/>
      <c r="F14" s="257"/>
      <c r="G14" s="249"/>
      <c r="H14" s="256">
        <f>$B14</f>
        <v>2014</v>
      </c>
      <c r="I14" s="226"/>
      <c r="J14" s="226"/>
      <c r="K14" s="226"/>
      <c r="L14" s="258">
        <f>'Table 2'!L50</f>
        <v>29.19</v>
      </c>
      <c r="M14" s="249"/>
      <c r="N14" s="256">
        <f>$B14</f>
        <v>2014</v>
      </c>
      <c r="O14" s="249">
        <f>D14</f>
        <v>90.09333333333332</v>
      </c>
      <c r="P14" s="226">
        <f>L14</f>
        <v>29.19</v>
      </c>
      <c r="Q14" s="226">
        <f t="shared" si="0"/>
        <v>42.9</v>
      </c>
      <c r="R14" s="226">
        <f t="shared" si="0"/>
        <v>41.29</v>
      </c>
      <c r="S14" s="258">
        <f t="shared" si="0"/>
        <v>40.020000000000003</v>
      </c>
      <c r="T14" s="249"/>
      <c r="U14" s="256">
        <f t="shared" si="1"/>
        <v>2014</v>
      </c>
      <c r="V14" s="249">
        <f t="shared" si="2"/>
        <v>90.09333333333332</v>
      </c>
      <c r="W14" s="226">
        <f>ROUND(V14/(8.76*'Table 8'!$D$127*0.57),2)</f>
        <v>20.46</v>
      </c>
      <c r="X14" s="226">
        <f t="shared" si="3"/>
        <v>29.19</v>
      </c>
      <c r="Y14" s="226">
        <f t="shared" si="4"/>
        <v>49.650000000000006</v>
      </c>
      <c r="Z14" s="258">
        <f t="shared" si="5"/>
        <v>29.19</v>
      </c>
    </row>
    <row r="15" spans="2:26">
      <c r="B15" s="256">
        <f>B14+1</f>
        <v>2015</v>
      </c>
      <c r="C15" s="249"/>
      <c r="D15" s="249">
        <f>+INDEX('Table 8'!$H$10:$H$36,MATCH($B15,'Table 8'!$B$10:$B$36,0))*INDEX('Table 11'!$C$21:$C$30,MATCH($B15,'Table 11'!$B$21:$B$30,0))/12</f>
        <v>91.899999999999991</v>
      </c>
      <c r="E15" s="249"/>
      <c r="F15" s="257"/>
      <c r="G15" s="249"/>
      <c r="H15" s="256">
        <f>$B15</f>
        <v>2015</v>
      </c>
      <c r="I15" s="226"/>
      <c r="J15" s="226"/>
      <c r="K15" s="226"/>
      <c r="L15" s="258">
        <f>'Table 2'!L51</f>
        <v>31.97</v>
      </c>
      <c r="M15" s="249"/>
      <c r="N15" s="256">
        <f>$B15</f>
        <v>2015</v>
      </c>
      <c r="O15" s="249">
        <f>D15</f>
        <v>91.899999999999991</v>
      </c>
      <c r="P15" s="226">
        <f>L15</f>
        <v>31.97</v>
      </c>
      <c r="Q15" s="226">
        <f t="shared" si="0"/>
        <v>45.96</v>
      </c>
      <c r="R15" s="226">
        <f t="shared" si="0"/>
        <v>44.31</v>
      </c>
      <c r="S15" s="258">
        <f t="shared" si="0"/>
        <v>43.01</v>
      </c>
      <c r="T15" s="249"/>
      <c r="U15" s="256">
        <f t="shared" si="1"/>
        <v>2015</v>
      </c>
      <c r="V15" s="249">
        <f t="shared" si="2"/>
        <v>91.899999999999991</v>
      </c>
      <c r="W15" s="226">
        <f>ROUND(V15/(8.76*'Table 8'!$D$127*0.57),2)</f>
        <v>20.87</v>
      </c>
      <c r="X15" s="226">
        <f t="shared" si="3"/>
        <v>31.97</v>
      </c>
      <c r="Y15" s="226">
        <f t="shared" si="4"/>
        <v>52.84</v>
      </c>
      <c r="Z15" s="258">
        <f t="shared" si="5"/>
        <v>31.97</v>
      </c>
    </row>
    <row r="16" spans="2:26">
      <c r="B16" s="256">
        <f t="shared" ref="B16:B18" si="6">B15+1</f>
        <v>2016</v>
      </c>
      <c r="C16" s="249"/>
      <c r="D16" s="249">
        <f>+INDEX('Table 8'!$H$10:$H$36,MATCH($B16,'Table 8'!$B$10:$B$36,0))*INDEX('Table 11'!$C$21:$C$30,MATCH($B16,'Table 11'!$B$21:$B$30,0))/12</f>
        <v>93.646666666666661</v>
      </c>
      <c r="E16" s="249"/>
      <c r="F16" s="257"/>
      <c r="G16" s="249"/>
      <c r="H16" s="256">
        <f t="shared" ref="H16:H18" si="7">$B16</f>
        <v>2016</v>
      </c>
      <c r="I16" s="226"/>
      <c r="J16" s="226"/>
      <c r="K16" s="226"/>
      <c r="L16" s="258">
        <f>'Table 2'!L52</f>
        <v>33.369999999999997</v>
      </c>
      <c r="M16" s="249"/>
      <c r="N16" s="256">
        <f t="shared" ref="N16:N18" si="8">$B16</f>
        <v>2016</v>
      </c>
      <c r="O16" s="249">
        <f t="shared" ref="O16:O18" si="9">D16</f>
        <v>93.646666666666661</v>
      </c>
      <c r="P16" s="226">
        <f t="shared" ref="P16:P18" si="10">L16</f>
        <v>33.369999999999997</v>
      </c>
      <c r="Q16" s="226">
        <f t="shared" si="0"/>
        <v>47.62</v>
      </c>
      <c r="R16" s="226">
        <f t="shared" si="0"/>
        <v>45.95</v>
      </c>
      <c r="S16" s="258">
        <f t="shared" si="0"/>
        <v>44.62</v>
      </c>
      <c r="T16" s="249"/>
      <c r="U16" s="256">
        <f t="shared" si="1"/>
        <v>2016</v>
      </c>
      <c r="V16" s="249">
        <f t="shared" ref="V16:V18" si="11">D16</f>
        <v>93.646666666666661</v>
      </c>
      <c r="W16" s="226">
        <f>ROUND(V16/(8.76*'Table 8'!$D$127*0.57),2)</f>
        <v>21.26</v>
      </c>
      <c r="X16" s="226">
        <f t="shared" ref="X16:X18" si="12">L16</f>
        <v>33.369999999999997</v>
      </c>
      <c r="Y16" s="226">
        <f t="shared" ref="Y16:Y18" si="13">W16+X16</f>
        <v>54.629999999999995</v>
      </c>
      <c r="Z16" s="258">
        <f t="shared" ref="Z16:Z18" si="14">X16</f>
        <v>33.369999999999997</v>
      </c>
    </row>
    <row r="17" spans="2:27">
      <c r="B17" s="256">
        <f t="shared" si="6"/>
        <v>2017</v>
      </c>
      <c r="C17" s="249"/>
      <c r="D17" s="249">
        <f>+INDEX('Table 8'!$H$10:$H$36,MATCH($B17,'Table 8'!$B$10:$B$36,0))*INDEX('Table 11'!$C$21:$C$30,MATCH($B17,'Table 11'!$B$21:$B$30,0))/12</f>
        <v>83.498333333333321</v>
      </c>
      <c r="E17" s="249"/>
      <c r="F17" s="257"/>
      <c r="G17" s="249"/>
      <c r="H17" s="256">
        <f t="shared" si="7"/>
        <v>2017</v>
      </c>
      <c r="I17" s="226"/>
      <c r="J17" s="226"/>
      <c r="K17" s="226"/>
      <c r="L17" s="258">
        <f>'Table 2'!L53</f>
        <v>34.770000000000003</v>
      </c>
      <c r="M17" s="249"/>
      <c r="N17" s="256">
        <f t="shared" si="8"/>
        <v>2017</v>
      </c>
      <c r="O17" s="249">
        <f t="shared" si="9"/>
        <v>83.498333333333321</v>
      </c>
      <c r="P17" s="226">
        <f t="shared" si="10"/>
        <v>34.770000000000003</v>
      </c>
      <c r="Q17" s="226">
        <f t="shared" si="0"/>
        <v>47.48</v>
      </c>
      <c r="R17" s="226">
        <f t="shared" si="0"/>
        <v>45.98</v>
      </c>
      <c r="S17" s="258">
        <f t="shared" si="0"/>
        <v>44.8</v>
      </c>
      <c r="T17" s="249"/>
      <c r="U17" s="256">
        <f t="shared" si="1"/>
        <v>2017</v>
      </c>
      <c r="V17" s="249">
        <f t="shared" si="11"/>
        <v>83.498333333333321</v>
      </c>
      <c r="W17" s="226">
        <f>ROUND(V17/(8.76*'Table 8'!$D$127*0.57),2)</f>
        <v>18.96</v>
      </c>
      <c r="X17" s="226">
        <f t="shared" si="12"/>
        <v>34.770000000000003</v>
      </c>
      <c r="Y17" s="226">
        <f t="shared" si="13"/>
        <v>53.730000000000004</v>
      </c>
      <c r="Z17" s="258">
        <f t="shared" si="14"/>
        <v>34.770000000000003</v>
      </c>
    </row>
    <row r="18" spans="2:27">
      <c r="B18" s="256">
        <f t="shared" si="6"/>
        <v>2018</v>
      </c>
      <c r="C18" s="249"/>
      <c r="D18" s="249">
        <f>+INDEX('Table 8'!$H$10:$H$36,MATCH($B18,'Table 8'!$B$10:$B$36,0))*INDEX('Table 11'!$C$21:$C$30,MATCH($B18,'Table 11'!$B$21:$B$30,0))/12</f>
        <v>109.39500000000002</v>
      </c>
      <c r="E18" s="249"/>
      <c r="F18" s="257"/>
      <c r="G18" s="249"/>
      <c r="H18" s="256">
        <f t="shared" si="7"/>
        <v>2018</v>
      </c>
      <c r="I18" s="226"/>
      <c r="J18" s="226"/>
      <c r="K18" s="226"/>
      <c r="L18" s="258">
        <f>'Table 2'!L54</f>
        <v>39.19</v>
      </c>
      <c r="M18" s="249"/>
      <c r="N18" s="256">
        <f t="shared" si="8"/>
        <v>2018</v>
      </c>
      <c r="O18" s="249">
        <f t="shared" si="9"/>
        <v>109.39500000000002</v>
      </c>
      <c r="P18" s="226">
        <f t="shared" si="10"/>
        <v>39.19</v>
      </c>
      <c r="Q18" s="226">
        <f t="shared" si="0"/>
        <v>55.84</v>
      </c>
      <c r="R18" s="226">
        <f t="shared" si="0"/>
        <v>53.88</v>
      </c>
      <c r="S18" s="258">
        <f t="shared" si="0"/>
        <v>52.34</v>
      </c>
      <c r="T18" s="249"/>
      <c r="U18" s="256">
        <f t="shared" si="1"/>
        <v>2018</v>
      </c>
      <c r="V18" s="249">
        <f t="shared" si="11"/>
        <v>109.39500000000002</v>
      </c>
      <c r="W18" s="226">
        <f>ROUND(V18/(8.76*'Table 8'!$D$127*0.57),2)</f>
        <v>24.84</v>
      </c>
      <c r="X18" s="226">
        <f t="shared" si="12"/>
        <v>39.19</v>
      </c>
      <c r="Y18" s="226">
        <f t="shared" si="13"/>
        <v>64.03</v>
      </c>
      <c r="Z18" s="258">
        <f t="shared" si="14"/>
        <v>39.19</v>
      </c>
    </row>
    <row r="19" spans="2:27">
      <c r="B19" s="259">
        <f>+B18+1</f>
        <v>2019</v>
      </c>
      <c r="C19" s="260"/>
      <c r="D19" s="260">
        <f>+INDEX('Table 8'!$H$10:$H$36,MATCH($B19,'Table 8'!$B$10:$B$36,0))*INDEX('Table 11'!$C$21:$C$30,MATCH($B19,'Table 11'!$B$21:$B$30,0))/12</f>
        <v>111.36</v>
      </c>
      <c r="E19" s="260"/>
      <c r="F19" s="261"/>
      <c r="G19" s="249"/>
      <c r="H19" s="259">
        <f t="shared" ref="H19" si="15">$B19</f>
        <v>2019</v>
      </c>
      <c r="I19" s="262"/>
      <c r="J19" s="262"/>
      <c r="K19" s="262"/>
      <c r="L19" s="263">
        <f>'Table 2'!L52</f>
        <v>33.369999999999997</v>
      </c>
      <c r="M19" s="249"/>
      <c r="N19" s="259">
        <f t="shared" ref="N19" si="16">$B19</f>
        <v>2019</v>
      </c>
      <c r="O19" s="260">
        <f t="shared" ref="O19" si="17">D19</f>
        <v>111.36</v>
      </c>
      <c r="P19" s="262">
        <f t="shared" ref="P19" si="18">L19</f>
        <v>33.369999999999997</v>
      </c>
      <c r="Q19" s="262">
        <f t="shared" si="0"/>
        <v>50.32</v>
      </c>
      <c r="R19" s="262">
        <f t="shared" si="0"/>
        <v>48.33</v>
      </c>
      <c r="S19" s="263">
        <f t="shared" si="0"/>
        <v>46.75</v>
      </c>
      <c r="T19" s="249"/>
      <c r="U19" s="259">
        <f t="shared" si="1"/>
        <v>2019</v>
      </c>
      <c r="V19" s="260">
        <f t="shared" si="2"/>
        <v>111.36</v>
      </c>
      <c r="W19" s="262">
        <f>ROUND(V19/(8.76*'Table 8'!$D$127*0.57),2)</f>
        <v>25.29</v>
      </c>
      <c r="X19" s="262">
        <f t="shared" si="3"/>
        <v>33.369999999999997</v>
      </c>
      <c r="Y19" s="262">
        <f t="shared" si="4"/>
        <v>58.66</v>
      </c>
      <c r="Z19" s="263">
        <f t="shared" si="5"/>
        <v>33.369999999999997</v>
      </c>
    </row>
    <row r="20" spans="2:27">
      <c r="B20" s="264"/>
      <c r="C20" s="265"/>
      <c r="D20" s="265"/>
      <c r="E20" s="265"/>
      <c r="F20" s="265"/>
      <c r="G20" s="249"/>
      <c r="H20" s="264"/>
      <c r="I20" s="226"/>
      <c r="J20" s="226"/>
      <c r="K20" s="226"/>
      <c r="L20" s="226"/>
      <c r="M20" s="249"/>
      <c r="N20" s="264"/>
      <c r="O20" s="249"/>
      <c r="P20" s="226"/>
      <c r="Q20" s="226"/>
      <c r="R20" s="226"/>
      <c r="S20" s="226"/>
      <c r="T20" s="249"/>
      <c r="U20" s="264"/>
      <c r="V20" s="249"/>
      <c r="W20" s="226"/>
      <c r="X20" s="226"/>
      <c r="Y20" s="226"/>
      <c r="Z20" s="226"/>
    </row>
    <row r="21" spans="2:27">
      <c r="B21" s="23" t="s">
        <v>99</v>
      </c>
      <c r="C21" s="249"/>
      <c r="D21" s="52" t="s">
        <v>95</v>
      </c>
      <c r="E21" s="249"/>
      <c r="F21" s="249"/>
      <c r="G21" s="249"/>
      <c r="H21" s="23" t="s">
        <v>99</v>
      </c>
      <c r="I21" s="226"/>
      <c r="J21" s="76" t="str">
        <f>$I$8&amp;" x "&amp;TEXT('Table 8'!$K$113/1000,"0.000")</f>
        <v>(a) x 7.050</v>
      </c>
      <c r="K21" s="226"/>
      <c r="L21" s="226"/>
      <c r="M21" s="249"/>
      <c r="N21" s="23" t="s">
        <v>99</v>
      </c>
      <c r="O21" s="249"/>
      <c r="P21" s="226"/>
      <c r="Q21" s="226"/>
      <c r="R21" s="226"/>
      <c r="S21" s="226"/>
      <c r="T21" s="249"/>
      <c r="U21" s="23" t="s">
        <v>99</v>
      </c>
      <c r="V21" s="249"/>
      <c r="W21" s="226"/>
      <c r="X21" s="226"/>
      <c r="Y21" s="226"/>
      <c r="Z21" s="226"/>
    </row>
    <row r="22" spans="2:27">
      <c r="B22" s="251">
        <f>+B19+1</f>
        <v>2020</v>
      </c>
      <c r="C22" s="252">
        <f>+INDEX('Table 8'!$H$60:$H$86,MATCH($B22,'Table 8'!$B$60:$B$86,0))</f>
        <v>151.6</v>
      </c>
      <c r="D22" s="252">
        <f>+INDEX('Table 8'!$H$10:$H$36,MATCH($B22,'Table 8'!$B$10:$B$36,0))</f>
        <v>151.01</v>
      </c>
      <c r="E22" s="252">
        <f>ROUND((C22-D22)*0.5,2)</f>
        <v>0.3</v>
      </c>
      <c r="F22" s="253">
        <f>ROUND(E22/(8.76*'Table 8'!$D$126),2)</f>
        <v>7.0000000000000007E-2</v>
      </c>
      <c r="G22" s="249"/>
      <c r="H22" s="251">
        <f t="shared" ref="H22:H38" si="19">$B22</f>
        <v>2020</v>
      </c>
      <c r="I22" s="254">
        <f>+INDEX('Table 9'!C:C,MATCH('Tables 3 to 6'!$H22,'Table 9'!B:B,0))</f>
        <v>5.74</v>
      </c>
      <c r="J22" s="254">
        <f>I22*'Table 8'!$K$113/1000</f>
        <v>40.466999999999999</v>
      </c>
      <c r="K22" s="254">
        <f t="shared" ref="K22" si="20">F22</f>
        <v>7.0000000000000007E-2</v>
      </c>
      <c r="L22" s="255">
        <f t="shared" ref="L22" si="21">J22+K22</f>
        <v>40.536999999999999</v>
      </c>
      <c r="M22" s="249"/>
      <c r="N22" s="251">
        <f t="shared" ref="N22:N38" si="22">$B22</f>
        <v>2020</v>
      </c>
      <c r="O22" s="252">
        <f>D22+E22</f>
        <v>151.31</v>
      </c>
      <c r="P22" s="254">
        <f t="shared" ref="P22" si="23">L22</f>
        <v>40.536999999999999</v>
      </c>
      <c r="Q22" s="254">
        <f t="shared" ref="Q22:S38" si="24">ROUND($P22+$O22/(8.76*Q$6),2)</f>
        <v>63.57</v>
      </c>
      <c r="R22" s="254">
        <f t="shared" si="24"/>
        <v>60.86</v>
      </c>
      <c r="S22" s="255">
        <f t="shared" si="24"/>
        <v>58.72</v>
      </c>
      <c r="T22" s="249"/>
      <c r="U22" s="251">
        <f t="shared" ref="U22:U38" si="25">$B22</f>
        <v>2020</v>
      </c>
      <c r="V22" s="252">
        <f>D22+E22</f>
        <v>151.31</v>
      </c>
      <c r="W22" s="254">
        <f>ROUND(V22/(8.76*'Table 8'!$D$127*0.57),2)</f>
        <v>34.36</v>
      </c>
      <c r="X22" s="254">
        <f t="shared" ref="X22" si="26">L22</f>
        <v>40.536999999999999</v>
      </c>
      <c r="Y22" s="254">
        <f t="shared" ref="Y22" si="27">W22+X22</f>
        <v>74.896999999999991</v>
      </c>
      <c r="Z22" s="255">
        <f t="shared" ref="Z22" si="28">X22</f>
        <v>40.536999999999999</v>
      </c>
      <c r="AA22" s="202"/>
    </row>
    <row r="23" spans="2:27">
      <c r="B23" s="256">
        <f t="shared" ref="B23:B38" si="29">B22+1</f>
        <v>2021</v>
      </c>
      <c r="C23" s="249">
        <f>+INDEX('Table 8'!$H$60:$H$86,MATCH($B23,'Table 8'!$B$60:$B$86,0))</f>
        <v>154.31</v>
      </c>
      <c r="D23" s="249">
        <f>+INDEX('Table 8'!$H$10:$H$36,MATCH($B23,'Table 8'!$B$10:$B$36,0))</f>
        <v>153.72999999999999</v>
      </c>
      <c r="E23" s="249">
        <f t="shared" ref="E23:E38" si="30">ROUND((C23-D23)*0.5,2)</f>
        <v>0.28999999999999998</v>
      </c>
      <c r="F23" s="257">
        <f>ROUND(E23/(8.76*'Table 8'!$D$126),2)</f>
        <v>7.0000000000000007E-2</v>
      </c>
      <c r="G23" s="249"/>
      <c r="H23" s="256">
        <f t="shared" si="19"/>
        <v>2021</v>
      </c>
      <c r="I23" s="226">
        <f>+INDEX('Table 9'!C:C,MATCH('Tables 3 to 6'!$H23,'Table 9'!B:B,0))</f>
        <v>6.07</v>
      </c>
      <c r="J23" s="226">
        <f>I23*'Table 8'!$K$113/1000</f>
        <v>42.793500000000002</v>
      </c>
      <c r="K23" s="226">
        <f t="shared" ref="K23:K38" si="31">F23</f>
        <v>7.0000000000000007E-2</v>
      </c>
      <c r="L23" s="258">
        <f t="shared" ref="L23:L38" si="32">J23+K23</f>
        <v>42.863500000000002</v>
      </c>
      <c r="M23" s="249"/>
      <c r="N23" s="256">
        <f t="shared" si="22"/>
        <v>2021</v>
      </c>
      <c r="O23" s="249">
        <f t="shared" ref="O23:O38" si="33">D23+E23</f>
        <v>154.01999999999998</v>
      </c>
      <c r="P23" s="226">
        <f t="shared" ref="P23:P38" si="34">L23</f>
        <v>42.863500000000002</v>
      </c>
      <c r="Q23" s="226">
        <f t="shared" si="24"/>
        <v>66.31</v>
      </c>
      <c r="R23" s="226">
        <f t="shared" si="24"/>
        <v>63.55</v>
      </c>
      <c r="S23" s="258">
        <f t="shared" si="24"/>
        <v>61.37</v>
      </c>
      <c r="T23" s="249"/>
      <c r="U23" s="256">
        <f t="shared" si="25"/>
        <v>2021</v>
      </c>
      <c r="V23" s="249">
        <f t="shared" ref="V23:V38" si="35">D23+E23</f>
        <v>154.01999999999998</v>
      </c>
      <c r="W23" s="226">
        <f>ROUND(V23/(8.76*'Table 8'!$D$127*0.57),2)</f>
        <v>34.97</v>
      </c>
      <c r="X23" s="226">
        <f t="shared" ref="X23:X38" si="36">L23</f>
        <v>42.863500000000002</v>
      </c>
      <c r="Y23" s="226">
        <f t="shared" ref="Y23:Y38" si="37">W23+X23</f>
        <v>77.833500000000001</v>
      </c>
      <c r="Z23" s="258">
        <f t="shared" ref="Z23:Z38" si="38">X23</f>
        <v>42.863500000000002</v>
      </c>
    </row>
    <row r="24" spans="2:27">
      <c r="B24" s="256">
        <f t="shared" si="29"/>
        <v>2022</v>
      </c>
      <c r="C24" s="249">
        <f>+INDEX('Table 8'!$H$60:$H$86,MATCH($B24,'Table 8'!$B$60:$B$86,0))</f>
        <v>157.06</v>
      </c>
      <c r="D24" s="249">
        <f>+INDEX('Table 8'!$H$10:$H$36,MATCH($B24,'Table 8'!$B$10:$B$36,0))</f>
        <v>156.49</v>
      </c>
      <c r="E24" s="249">
        <f t="shared" si="30"/>
        <v>0.28000000000000003</v>
      </c>
      <c r="F24" s="257">
        <f>ROUND(E24/(8.76*'Table 8'!$D$126),2)</f>
        <v>0.06</v>
      </c>
      <c r="G24" s="249"/>
      <c r="H24" s="256">
        <f t="shared" si="19"/>
        <v>2022</v>
      </c>
      <c r="I24" s="226">
        <f>+INDEX('Table 9'!C:C,MATCH('Tables 3 to 6'!$H24,'Table 9'!B:B,0))</f>
        <v>6.67</v>
      </c>
      <c r="J24" s="226">
        <f>I24*'Table 8'!$K$113/1000</f>
        <v>47.023499999999999</v>
      </c>
      <c r="K24" s="226">
        <f t="shared" si="31"/>
        <v>0.06</v>
      </c>
      <c r="L24" s="258">
        <f t="shared" si="32"/>
        <v>47.083500000000001</v>
      </c>
      <c r="M24" s="249"/>
      <c r="N24" s="256">
        <f t="shared" si="22"/>
        <v>2022</v>
      </c>
      <c r="O24" s="249">
        <f t="shared" si="33"/>
        <v>156.77000000000001</v>
      </c>
      <c r="P24" s="226">
        <f t="shared" si="34"/>
        <v>47.083500000000001</v>
      </c>
      <c r="Q24" s="226">
        <f t="shared" si="24"/>
        <v>70.94</v>
      </c>
      <c r="R24" s="226">
        <f t="shared" si="24"/>
        <v>68.14</v>
      </c>
      <c r="S24" s="258">
        <f t="shared" si="24"/>
        <v>65.92</v>
      </c>
      <c r="T24" s="249"/>
      <c r="U24" s="256">
        <f t="shared" si="25"/>
        <v>2022</v>
      </c>
      <c r="V24" s="249">
        <f t="shared" si="35"/>
        <v>156.77000000000001</v>
      </c>
      <c r="W24" s="226">
        <f>ROUND(V24/(8.76*'Table 8'!$D$127*0.57),2)</f>
        <v>35.6</v>
      </c>
      <c r="X24" s="226">
        <f t="shared" si="36"/>
        <v>47.083500000000001</v>
      </c>
      <c r="Y24" s="226">
        <f t="shared" si="37"/>
        <v>82.683500000000009</v>
      </c>
      <c r="Z24" s="258">
        <f t="shared" si="38"/>
        <v>47.083500000000001</v>
      </c>
    </row>
    <row r="25" spans="2:27">
      <c r="B25" s="256">
        <f t="shared" si="29"/>
        <v>2023</v>
      </c>
      <c r="C25" s="249">
        <f>+INDEX('Table 8'!$H$60:$H$86,MATCH($B25,'Table 8'!$B$60:$B$86,0))</f>
        <v>159.91</v>
      </c>
      <c r="D25" s="249">
        <f>+INDEX('Table 8'!$H$10:$H$36,MATCH($B25,'Table 8'!$B$10:$B$36,0))</f>
        <v>159.30000000000001</v>
      </c>
      <c r="E25" s="249">
        <f t="shared" si="30"/>
        <v>0.3</v>
      </c>
      <c r="F25" s="257">
        <f>ROUND(E25/(8.76*'Table 8'!$D$126),2)</f>
        <v>7.0000000000000007E-2</v>
      </c>
      <c r="G25" s="249"/>
      <c r="H25" s="256">
        <f t="shared" si="19"/>
        <v>2023</v>
      </c>
      <c r="I25" s="226">
        <f>+INDEX('Table 9'!C:C,MATCH('Tables 3 to 6'!$H25,'Table 9'!B:B,0))</f>
        <v>6.88</v>
      </c>
      <c r="J25" s="226">
        <f>I25*'Table 8'!$K$113/1000</f>
        <v>48.503999999999998</v>
      </c>
      <c r="K25" s="226">
        <f t="shared" si="31"/>
        <v>7.0000000000000007E-2</v>
      </c>
      <c r="L25" s="258">
        <f t="shared" si="32"/>
        <v>48.573999999999998</v>
      </c>
      <c r="M25" s="249"/>
      <c r="N25" s="256">
        <f t="shared" si="22"/>
        <v>2023</v>
      </c>
      <c r="O25" s="249">
        <f t="shared" si="33"/>
        <v>159.60000000000002</v>
      </c>
      <c r="P25" s="226">
        <f t="shared" si="34"/>
        <v>48.573999999999998</v>
      </c>
      <c r="Q25" s="226">
        <f t="shared" si="24"/>
        <v>72.87</v>
      </c>
      <c r="R25" s="226">
        <f t="shared" si="24"/>
        <v>70.010000000000005</v>
      </c>
      <c r="S25" s="258">
        <f t="shared" si="24"/>
        <v>67.75</v>
      </c>
      <c r="T25" s="249"/>
      <c r="U25" s="256">
        <f t="shared" si="25"/>
        <v>2023</v>
      </c>
      <c r="V25" s="249">
        <f t="shared" si="35"/>
        <v>159.60000000000002</v>
      </c>
      <c r="W25" s="226">
        <f>ROUND(V25/(8.76*'Table 8'!$D$127*0.57),2)</f>
        <v>36.24</v>
      </c>
      <c r="X25" s="226">
        <f t="shared" si="36"/>
        <v>48.573999999999998</v>
      </c>
      <c r="Y25" s="226">
        <f t="shared" si="37"/>
        <v>84.813999999999993</v>
      </c>
      <c r="Z25" s="258">
        <f t="shared" si="38"/>
        <v>48.573999999999998</v>
      </c>
    </row>
    <row r="26" spans="2:27">
      <c r="B26" s="256">
        <f t="shared" si="29"/>
        <v>2024</v>
      </c>
      <c r="C26" s="249">
        <f>+INDEX('Table 8'!$H$60:$H$86,MATCH($B26,'Table 8'!$B$60:$B$86,0))</f>
        <v>162.80000000000001</v>
      </c>
      <c r="D26" s="249">
        <f>+INDEX('Table 8'!$H$10:$H$36,MATCH($B26,'Table 8'!$B$10:$B$36,0))</f>
        <v>162.16</v>
      </c>
      <c r="E26" s="249">
        <f t="shared" si="30"/>
        <v>0.32</v>
      </c>
      <c r="F26" s="257">
        <f>ROUND(E26/(8.76*'Table 8'!$D$126),2)</f>
        <v>7.0000000000000007E-2</v>
      </c>
      <c r="G26" s="249"/>
      <c r="H26" s="256">
        <f t="shared" si="19"/>
        <v>2024</v>
      </c>
      <c r="I26" s="226">
        <f>+INDEX('Table 9'!C:C,MATCH('Tables 3 to 6'!$H26,'Table 9'!B:B,0))</f>
        <v>6.76</v>
      </c>
      <c r="J26" s="226">
        <f>I26*'Table 8'!$K$113/1000</f>
        <v>47.658000000000001</v>
      </c>
      <c r="K26" s="226">
        <f t="shared" si="31"/>
        <v>7.0000000000000007E-2</v>
      </c>
      <c r="L26" s="258">
        <f t="shared" si="32"/>
        <v>47.728000000000002</v>
      </c>
      <c r="M26" s="249"/>
      <c r="N26" s="256">
        <f t="shared" si="22"/>
        <v>2024</v>
      </c>
      <c r="O26" s="249">
        <f t="shared" si="33"/>
        <v>162.47999999999999</v>
      </c>
      <c r="P26" s="226">
        <f t="shared" si="34"/>
        <v>47.728000000000002</v>
      </c>
      <c r="Q26" s="226">
        <f t="shared" si="24"/>
        <v>72.459999999999994</v>
      </c>
      <c r="R26" s="226">
        <f t="shared" si="24"/>
        <v>69.55</v>
      </c>
      <c r="S26" s="258">
        <f t="shared" si="24"/>
        <v>67.25</v>
      </c>
      <c r="T26" s="249"/>
      <c r="U26" s="256">
        <f t="shared" si="25"/>
        <v>2024</v>
      </c>
      <c r="V26" s="249">
        <f t="shared" si="35"/>
        <v>162.47999999999999</v>
      </c>
      <c r="W26" s="226">
        <f>ROUND(V26/(8.76*'Table 8'!$D$127*0.57),2)</f>
        <v>36.89</v>
      </c>
      <c r="X26" s="226">
        <f t="shared" si="36"/>
        <v>47.728000000000002</v>
      </c>
      <c r="Y26" s="226">
        <f t="shared" si="37"/>
        <v>84.617999999999995</v>
      </c>
      <c r="Z26" s="258">
        <f t="shared" si="38"/>
        <v>47.728000000000002</v>
      </c>
    </row>
    <row r="27" spans="2:27">
      <c r="B27" s="256">
        <f t="shared" si="29"/>
        <v>2025</v>
      </c>
      <c r="C27" s="249">
        <f>+INDEX('Table 8'!$H$60:$H$86,MATCH($B27,'Table 8'!$B$60:$B$86,0))</f>
        <v>165.72</v>
      </c>
      <c r="D27" s="249">
        <f>+INDEX('Table 8'!$H$10:$H$36,MATCH($B27,'Table 8'!$B$10:$B$36,0))</f>
        <v>165.08</v>
      </c>
      <c r="E27" s="249">
        <f t="shared" si="30"/>
        <v>0.32</v>
      </c>
      <c r="F27" s="257">
        <f>ROUND(E27/(8.76*'Table 8'!$D$126),2)</f>
        <v>7.0000000000000007E-2</v>
      </c>
      <c r="G27" s="249"/>
      <c r="H27" s="256">
        <f t="shared" si="19"/>
        <v>2025</v>
      </c>
      <c r="I27" s="226">
        <f>+INDEX('Table 9'!C:C,MATCH('Tables 3 to 6'!$H27,'Table 9'!B:B,0))</f>
        <v>6.95</v>
      </c>
      <c r="J27" s="226">
        <f>I27*'Table 8'!$K$113/1000</f>
        <v>48.997500000000002</v>
      </c>
      <c r="K27" s="226">
        <f t="shared" si="31"/>
        <v>7.0000000000000007E-2</v>
      </c>
      <c r="L27" s="258">
        <f t="shared" si="32"/>
        <v>49.067500000000003</v>
      </c>
      <c r="M27" s="249"/>
      <c r="N27" s="256">
        <f t="shared" si="22"/>
        <v>2025</v>
      </c>
      <c r="O27" s="249">
        <f t="shared" si="33"/>
        <v>165.4</v>
      </c>
      <c r="P27" s="226">
        <f t="shared" si="34"/>
        <v>49.067500000000003</v>
      </c>
      <c r="Q27" s="226">
        <f t="shared" si="24"/>
        <v>74.239999999999995</v>
      </c>
      <c r="R27" s="226">
        <f t="shared" si="24"/>
        <v>71.28</v>
      </c>
      <c r="S27" s="258">
        <f t="shared" si="24"/>
        <v>68.94</v>
      </c>
      <c r="T27" s="249"/>
      <c r="U27" s="256">
        <f t="shared" si="25"/>
        <v>2025</v>
      </c>
      <c r="V27" s="249">
        <f t="shared" si="35"/>
        <v>165.4</v>
      </c>
      <c r="W27" s="226">
        <f>ROUND(V27/(8.76*'Table 8'!$D$127*0.57),2)</f>
        <v>37.56</v>
      </c>
      <c r="X27" s="226">
        <f t="shared" si="36"/>
        <v>49.067500000000003</v>
      </c>
      <c r="Y27" s="226">
        <f t="shared" si="37"/>
        <v>86.627499999999998</v>
      </c>
      <c r="Z27" s="258">
        <f t="shared" si="38"/>
        <v>49.067500000000003</v>
      </c>
    </row>
    <row r="28" spans="2:27">
      <c r="B28" s="256">
        <f t="shared" si="29"/>
        <v>2026</v>
      </c>
      <c r="C28" s="249">
        <f>+INDEX('Table 8'!$H$60:$H$86,MATCH($B28,'Table 8'!$B$60:$B$86,0))</f>
        <v>168.71</v>
      </c>
      <c r="D28" s="249">
        <f>+INDEX('Table 8'!$H$10:$H$36,MATCH($B28,'Table 8'!$B$10:$B$36,0))</f>
        <v>168.05</v>
      </c>
      <c r="E28" s="249">
        <f t="shared" si="30"/>
        <v>0.33</v>
      </c>
      <c r="F28" s="257">
        <f>ROUND(E28/(8.76*'Table 8'!$D$126),2)</f>
        <v>7.0000000000000007E-2</v>
      </c>
      <c r="G28" s="249"/>
      <c r="H28" s="256">
        <f t="shared" si="19"/>
        <v>2026</v>
      </c>
      <c r="I28" s="226">
        <f>+INDEX('Table 9'!C:C,MATCH('Tables 3 to 6'!$H28,'Table 9'!B:B,0))</f>
        <v>7.35</v>
      </c>
      <c r="J28" s="226">
        <f>I28*'Table 8'!$K$113/1000</f>
        <v>51.817500000000003</v>
      </c>
      <c r="K28" s="226">
        <f t="shared" si="31"/>
        <v>7.0000000000000007E-2</v>
      </c>
      <c r="L28" s="258">
        <f t="shared" si="32"/>
        <v>51.887500000000003</v>
      </c>
      <c r="M28" s="249"/>
      <c r="N28" s="256">
        <f t="shared" si="22"/>
        <v>2026</v>
      </c>
      <c r="O28" s="249">
        <f t="shared" si="33"/>
        <v>168.38000000000002</v>
      </c>
      <c r="P28" s="226">
        <f t="shared" si="34"/>
        <v>51.887500000000003</v>
      </c>
      <c r="Q28" s="226">
        <f t="shared" si="24"/>
        <v>77.52</v>
      </c>
      <c r="R28" s="226">
        <f t="shared" si="24"/>
        <v>74.5</v>
      </c>
      <c r="S28" s="258">
        <f t="shared" si="24"/>
        <v>72.12</v>
      </c>
      <c r="T28" s="249"/>
      <c r="U28" s="256">
        <f t="shared" si="25"/>
        <v>2026</v>
      </c>
      <c r="V28" s="249">
        <f t="shared" si="35"/>
        <v>168.38000000000002</v>
      </c>
      <c r="W28" s="226">
        <f>ROUND(V28/(8.76*'Table 8'!$D$127*0.57),2)</f>
        <v>38.229999999999997</v>
      </c>
      <c r="X28" s="226">
        <f t="shared" si="36"/>
        <v>51.887500000000003</v>
      </c>
      <c r="Y28" s="226">
        <f t="shared" si="37"/>
        <v>90.117500000000007</v>
      </c>
      <c r="Z28" s="258">
        <f t="shared" si="38"/>
        <v>51.887500000000003</v>
      </c>
    </row>
    <row r="29" spans="2:27">
      <c r="B29" s="256">
        <f t="shared" si="29"/>
        <v>2027</v>
      </c>
      <c r="C29" s="249">
        <f>+INDEX('Table 8'!$H$60:$H$86,MATCH($B29,'Table 8'!$B$60:$B$86,0))</f>
        <v>171.93</v>
      </c>
      <c r="D29" s="249">
        <f>+INDEX('Table 8'!$H$10:$H$36,MATCH($B29,'Table 8'!$B$10:$B$36,0))</f>
        <v>171.25</v>
      </c>
      <c r="E29" s="249">
        <f t="shared" si="30"/>
        <v>0.34</v>
      </c>
      <c r="F29" s="257">
        <f>ROUND(E29/(8.76*'Table 8'!$D$126),2)</f>
        <v>0.08</v>
      </c>
      <c r="G29" s="249"/>
      <c r="H29" s="256">
        <f t="shared" si="19"/>
        <v>2027</v>
      </c>
      <c r="I29" s="226">
        <f>+INDEX('Table 9'!C:C,MATCH('Tables 3 to 6'!$H29,'Table 9'!B:B,0))</f>
        <v>7.61</v>
      </c>
      <c r="J29" s="226">
        <f>I29*'Table 8'!$K$113/1000</f>
        <v>53.650500000000001</v>
      </c>
      <c r="K29" s="226">
        <f t="shared" si="31"/>
        <v>0.08</v>
      </c>
      <c r="L29" s="258">
        <f t="shared" si="32"/>
        <v>53.730499999999999</v>
      </c>
      <c r="M29" s="249"/>
      <c r="N29" s="256">
        <f t="shared" si="22"/>
        <v>2027</v>
      </c>
      <c r="O29" s="249">
        <f t="shared" si="33"/>
        <v>171.59</v>
      </c>
      <c r="P29" s="226">
        <f t="shared" si="34"/>
        <v>53.730499999999999</v>
      </c>
      <c r="Q29" s="226">
        <f t="shared" si="24"/>
        <v>79.849999999999994</v>
      </c>
      <c r="R29" s="226">
        <f t="shared" si="24"/>
        <v>76.78</v>
      </c>
      <c r="S29" s="258">
        <f t="shared" si="24"/>
        <v>74.349999999999994</v>
      </c>
      <c r="T29" s="249"/>
      <c r="U29" s="256">
        <f t="shared" si="25"/>
        <v>2027</v>
      </c>
      <c r="V29" s="249">
        <f t="shared" si="35"/>
        <v>171.59</v>
      </c>
      <c r="W29" s="226">
        <f>ROUND(V29/(8.76*'Table 8'!$D$127*0.57),2)</f>
        <v>38.96</v>
      </c>
      <c r="X29" s="226">
        <f t="shared" si="36"/>
        <v>53.730499999999999</v>
      </c>
      <c r="Y29" s="226">
        <f t="shared" si="37"/>
        <v>92.6905</v>
      </c>
      <c r="Z29" s="258">
        <f t="shared" si="38"/>
        <v>53.730499999999999</v>
      </c>
    </row>
    <row r="30" spans="2:27">
      <c r="B30" s="256">
        <f t="shared" si="29"/>
        <v>2028</v>
      </c>
      <c r="C30" s="249">
        <f>+INDEX('Table 8'!$H$60:$H$86,MATCH($B30,'Table 8'!$B$60:$B$86,0))</f>
        <v>175.2</v>
      </c>
      <c r="D30" s="249">
        <f>+INDEX('Table 8'!$H$10:$H$36,MATCH($B30,'Table 8'!$B$10:$B$36,0))</f>
        <v>174.5</v>
      </c>
      <c r="E30" s="249">
        <f t="shared" si="30"/>
        <v>0.35</v>
      </c>
      <c r="F30" s="257">
        <f>ROUND(E30/(8.76*'Table 8'!$D$126),2)</f>
        <v>0.08</v>
      </c>
      <c r="G30" s="249"/>
      <c r="H30" s="256">
        <f t="shared" si="19"/>
        <v>2028</v>
      </c>
      <c r="I30" s="226">
        <f>+INDEX('Table 9'!C:C,MATCH('Tables 3 to 6'!$H30,'Table 9'!B:B,0))</f>
        <v>7.77</v>
      </c>
      <c r="J30" s="226">
        <f>I30*'Table 8'!$K$113/1000</f>
        <v>54.778500000000001</v>
      </c>
      <c r="K30" s="226">
        <f t="shared" si="31"/>
        <v>0.08</v>
      </c>
      <c r="L30" s="258">
        <f t="shared" si="32"/>
        <v>54.858499999999999</v>
      </c>
      <c r="M30" s="249"/>
      <c r="N30" s="256">
        <f t="shared" si="22"/>
        <v>2028</v>
      </c>
      <c r="O30" s="249">
        <f t="shared" si="33"/>
        <v>174.85</v>
      </c>
      <c r="P30" s="226">
        <f t="shared" si="34"/>
        <v>54.858499999999999</v>
      </c>
      <c r="Q30" s="226">
        <f t="shared" si="24"/>
        <v>81.47</v>
      </c>
      <c r="R30" s="226">
        <f t="shared" si="24"/>
        <v>78.34</v>
      </c>
      <c r="S30" s="258">
        <f t="shared" si="24"/>
        <v>75.87</v>
      </c>
      <c r="T30" s="249"/>
      <c r="U30" s="256">
        <f t="shared" si="25"/>
        <v>2028</v>
      </c>
      <c r="V30" s="249">
        <f t="shared" si="35"/>
        <v>174.85</v>
      </c>
      <c r="W30" s="226">
        <f>ROUND(V30/(8.76*'Table 8'!$D$127*0.57),2)</f>
        <v>39.700000000000003</v>
      </c>
      <c r="X30" s="226">
        <f t="shared" si="36"/>
        <v>54.858499999999999</v>
      </c>
      <c r="Y30" s="226">
        <f t="shared" si="37"/>
        <v>94.558500000000009</v>
      </c>
      <c r="Z30" s="258">
        <f t="shared" si="38"/>
        <v>54.858499999999999</v>
      </c>
    </row>
    <row r="31" spans="2:27">
      <c r="B31" s="256">
        <f t="shared" si="29"/>
        <v>2029</v>
      </c>
      <c r="C31" s="249">
        <f>+INDEX('Table 8'!$H$60:$H$86,MATCH($B31,'Table 8'!$B$60:$B$86,0))</f>
        <v>178.52</v>
      </c>
      <c r="D31" s="249">
        <f>+INDEX('Table 8'!$H$10:$H$36,MATCH($B31,'Table 8'!$B$10:$B$36,0))</f>
        <v>177.82</v>
      </c>
      <c r="E31" s="249">
        <f t="shared" ref="E31:E32" si="39">ROUND((C31-D31)*0.5,2)</f>
        <v>0.35</v>
      </c>
      <c r="F31" s="257">
        <f>ROUND(E31/(8.76*'Table 8'!$D$126),2)</f>
        <v>0.08</v>
      </c>
      <c r="G31" s="249"/>
      <c r="H31" s="256">
        <f t="shared" si="19"/>
        <v>2029</v>
      </c>
      <c r="I31" s="226">
        <f>+INDEX('Table 9'!C:C,MATCH('Tables 3 to 6'!$H31,'Table 9'!B:B,0))</f>
        <v>7.89</v>
      </c>
      <c r="J31" s="226">
        <f>I31*'Table 8'!$K$113/1000</f>
        <v>55.624499999999998</v>
      </c>
      <c r="K31" s="226">
        <f t="shared" ref="K31:K32" si="40">F31</f>
        <v>0.08</v>
      </c>
      <c r="L31" s="258">
        <f t="shared" ref="L31:L32" si="41">J31+K31</f>
        <v>55.704499999999996</v>
      </c>
      <c r="M31" s="249"/>
      <c r="N31" s="256">
        <f t="shared" si="22"/>
        <v>2029</v>
      </c>
      <c r="O31" s="249">
        <f t="shared" ref="O31:O32" si="42">D31+E31</f>
        <v>178.17</v>
      </c>
      <c r="P31" s="226">
        <f t="shared" ref="P31:P32" si="43">L31</f>
        <v>55.704499999999996</v>
      </c>
      <c r="Q31" s="226">
        <f t="shared" si="24"/>
        <v>82.82</v>
      </c>
      <c r="R31" s="226">
        <f t="shared" si="24"/>
        <v>79.63</v>
      </c>
      <c r="S31" s="258">
        <f t="shared" si="24"/>
        <v>77.11</v>
      </c>
      <c r="T31" s="249"/>
      <c r="U31" s="256">
        <f t="shared" si="25"/>
        <v>2029</v>
      </c>
      <c r="V31" s="249">
        <f t="shared" ref="V31:V32" si="44">D31+E31</f>
        <v>178.17</v>
      </c>
      <c r="W31" s="226">
        <f>ROUND(V31/(8.76*'Table 8'!$D$127*0.57),2)</f>
        <v>40.46</v>
      </c>
      <c r="X31" s="226">
        <f t="shared" ref="X31:X32" si="45">L31</f>
        <v>55.704499999999996</v>
      </c>
      <c r="Y31" s="226">
        <f t="shared" ref="Y31:Y32" si="46">W31+X31</f>
        <v>96.164500000000004</v>
      </c>
      <c r="Z31" s="258">
        <f t="shared" ref="Z31:Z32" si="47">X31</f>
        <v>55.704499999999996</v>
      </c>
    </row>
    <row r="32" spans="2:27">
      <c r="B32" s="256">
        <f t="shared" si="29"/>
        <v>2030</v>
      </c>
      <c r="C32" s="249">
        <f>+INDEX('Table 8'!$H$60:$H$86,MATCH($B32,'Table 8'!$B$60:$B$86,0))</f>
        <v>181.9</v>
      </c>
      <c r="D32" s="249">
        <f>+INDEX('Table 8'!$H$10:$H$36,MATCH($B32,'Table 8'!$B$10:$B$36,0))</f>
        <v>181.2</v>
      </c>
      <c r="E32" s="249">
        <f t="shared" si="39"/>
        <v>0.35</v>
      </c>
      <c r="F32" s="257">
        <f>ROUND(E32/(8.76*'Table 8'!$D$126),2)</f>
        <v>0.08</v>
      </c>
      <c r="G32" s="249"/>
      <c r="H32" s="256">
        <f t="shared" si="19"/>
        <v>2030</v>
      </c>
      <c r="I32" s="226">
        <f>+INDEX('Table 9'!C:C,MATCH('Tables 3 to 6'!$H32,'Table 9'!B:B,0))</f>
        <v>7.93</v>
      </c>
      <c r="J32" s="226">
        <f>I32*'Table 8'!$K$113/1000</f>
        <v>55.906500000000001</v>
      </c>
      <c r="K32" s="226">
        <f t="shared" si="40"/>
        <v>0.08</v>
      </c>
      <c r="L32" s="258">
        <f t="shared" si="41"/>
        <v>55.986499999999999</v>
      </c>
      <c r="M32" s="249"/>
      <c r="N32" s="256">
        <f t="shared" si="22"/>
        <v>2030</v>
      </c>
      <c r="O32" s="249">
        <f t="shared" si="42"/>
        <v>181.54999999999998</v>
      </c>
      <c r="P32" s="226">
        <f t="shared" si="43"/>
        <v>55.986499999999999</v>
      </c>
      <c r="Q32" s="226">
        <f t="shared" si="24"/>
        <v>83.62</v>
      </c>
      <c r="R32" s="226">
        <f t="shared" si="24"/>
        <v>80.37</v>
      </c>
      <c r="S32" s="258">
        <f t="shared" si="24"/>
        <v>77.8</v>
      </c>
      <c r="T32" s="249"/>
      <c r="U32" s="256">
        <f t="shared" si="25"/>
        <v>2030</v>
      </c>
      <c r="V32" s="249">
        <f t="shared" si="44"/>
        <v>181.54999999999998</v>
      </c>
      <c r="W32" s="226">
        <f>ROUND(V32/(8.76*'Table 8'!$D$127*0.57),2)</f>
        <v>41.22</v>
      </c>
      <c r="X32" s="226">
        <f t="shared" si="45"/>
        <v>55.986499999999999</v>
      </c>
      <c r="Y32" s="226">
        <f t="shared" si="46"/>
        <v>97.206500000000005</v>
      </c>
      <c r="Z32" s="258">
        <f t="shared" si="47"/>
        <v>55.986499999999999</v>
      </c>
    </row>
    <row r="33" spans="2:26">
      <c r="B33" s="256">
        <f t="shared" si="29"/>
        <v>2031</v>
      </c>
      <c r="C33" s="249">
        <f>+INDEX('Table 8'!$H$60:$H$86,MATCH($B33,'Table 8'!$B$60:$B$86,0))</f>
        <v>185.55</v>
      </c>
      <c r="D33" s="249">
        <f>+INDEX('Table 8'!$H$10:$H$36,MATCH($B33,'Table 8'!$B$10:$B$36,0))</f>
        <v>184.83</v>
      </c>
      <c r="E33" s="249">
        <f t="shared" si="30"/>
        <v>0.36</v>
      </c>
      <c r="F33" s="257">
        <f>ROUND(E33/(8.76*'Table 8'!$D$126),2)</f>
        <v>0.08</v>
      </c>
      <c r="G33" s="249"/>
      <c r="H33" s="256">
        <f t="shared" si="19"/>
        <v>2031</v>
      </c>
      <c r="I33" s="226">
        <f>+INDEX('Table 9'!C:C,MATCH('Tables 3 to 6'!$H33,'Table 9'!B:B,0))</f>
        <v>8.11</v>
      </c>
      <c r="J33" s="226">
        <f>I33*'Table 8'!$K$113/1000</f>
        <v>57.175499999999992</v>
      </c>
      <c r="K33" s="226">
        <f t="shared" si="31"/>
        <v>0.08</v>
      </c>
      <c r="L33" s="258">
        <f t="shared" si="32"/>
        <v>57.255499999999991</v>
      </c>
      <c r="M33" s="249"/>
      <c r="N33" s="256">
        <f t="shared" si="22"/>
        <v>2031</v>
      </c>
      <c r="O33" s="249">
        <f t="shared" si="33"/>
        <v>185.19000000000003</v>
      </c>
      <c r="P33" s="226">
        <f t="shared" si="34"/>
        <v>57.255499999999991</v>
      </c>
      <c r="Q33" s="226">
        <f t="shared" si="24"/>
        <v>85.44</v>
      </c>
      <c r="R33" s="226">
        <f t="shared" si="24"/>
        <v>82.13</v>
      </c>
      <c r="S33" s="258">
        <f t="shared" si="24"/>
        <v>79.510000000000005</v>
      </c>
      <c r="T33" s="249"/>
      <c r="U33" s="256">
        <f t="shared" si="25"/>
        <v>2031</v>
      </c>
      <c r="V33" s="249">
        <f t="shared" si="35"/>
        <v>185.19000000000003</v>
      </c>
      <c r="W33" s="226">
        <f>ROUND(V33/(8.76*'Table 8'!$D$127*0.57),2)</f>
        <v>42.05</v>
      </c>
      <c r="X33" s="226">
        <f t="shared" si="36"/>
        <v>57.255499999999991</v>
      </c>
      <c r="Y33" s="226">
        <f t="shared" si="37"/>
        <v>99.305499999999995</v>
      </c>
      <c r="Z33" s="258">
        <f t="shared" si="38"/>
        <v>57.255499999999991</v>
      </c>
    </row>
    <row r="34" spans="2:26">
      <c r="B34" s="256">
        <f t="shared" si="29"/>
        <v>2032</v>
      </c>
      <c r="C34" s="249">
        <f>+INDEX('Table 8'!$H$60:$H$86,MATCH($B34,'Table 8'!$B$60:$B$86,0))</f>
        <v>189.08</v>
      </c>
      <c r="D34" s="249">
        <f>+INDEX('Table 8'!$H$10:$H$36,MATCH($B34,'Table 8'!$B$10:$B$36,0))</f>
        <v>188.34</v>
      </c>
      <c r="E34" s="249">
        <f t="shared" si="30"/>
        <v>0.37</v>
      </c>
      <c r="F34" s="257">
        <f>ROUND(E34/(8.76*'Table 8'!$D$126),2)</f>
        <v>0.08</v>
      </c>
      <c r="G34" s="249"/>
      <c r="H34" s="256">
        <f t="shared" si="19"/>
        <v>2032</v>
      </c>
      <c r="I34" s="226">
        <f>+INDEX('Table 9'!C:C,MATCH('Tables 3 to 6'!$H34,'Table 9'!B:B,0))</f>
        <v>8.27</v>
      </c>
      <c r="J34" s="226">
        <f>I34*'Table 8'!$K$113/1000</f>
        <v>58.3035</v>
      </c>
      <c r="K34" s="226">
        <f t="shared" si="31"/>
        <v>0.08</v>
      </c>
      <c r="L34" s="258">
        <f t="shared" si="32"/>
        <v>58.383499999999998</v>
      </c>
      <c r="M34" s="249"/>
      <c r="N34" s="256">
        <f t="shared" si="22"/>
        <v>2032</v>
      </c>
      <c r="O34" s="249">
        <f t="shared" si="33"/>
        <v>188.71</v>
      </c>
      <c r="P34" s="226">
        <f t="shared" si="34"/>
        <v>58.383499999999998</v>
      </c>
      <c r="Q34" s="226">
        <f t="shared" si="24"/>
        <v>87.11</v>
      </c>
      <c r="R34" s="226">
        <f t="shared" si="24"/>
        <v>83.73</v>
      </c>
      <c r="S34" s="258">
        <f t="shared" si="24"/>
        <v>81.06</v>
      </c>
      <c r="T34" s="249"/>
      <c r="U34" s="256">
        <f t="shared" si="25"/>
        <v>2032</v>
      </c>
      <c r="V34" s="249">
        <f t="shared" si="35"/>
        <v>188.71</v>
      </c>
      <c r="W34" s="226">
        <f>ROUND(V34/(8.76*'Table 8'!$D$127*0.57),2)</f>
        <v>42.85</v>
      </c>
      <c r="X34" s="226">
        <f t="shared" si="36"/>
        <v>58.383499999999998</v>
      </c>
      <c r="Y34" s="226">
        <f t="shared" si="37"/>
        <v>101.23349999999999</v>
      </c>
      <c r="Z34" s="258">
        <f t="shared" si="38"/>
        <v>58.383499999999998</v>
      </c>
    </row>
    <row r="35" spans="2:26">
      <c r="B35" s="256">
        <f t="shared" si="29"/>
        <v>2033</v>
      </c>
      <c r="C35" s="249">
        <f>+INDEX('Table 8'!$H$60:$H$86,MATCH($B35,'Table 8'!$B$60:$B$86,0))</f>
        <v>192.69</v>
      </c>
      <c r="D35" s="249">
        <f>+INDEX('Table 8'!$H$10:$H$36,MATCH($B35,'Table 8'!$B$10:$B$36,0))</f>
        <v>191.91</v>
      </c>
      <c r="E35" s="249">
        <f t="shared" ref="E35" si="48">ROUND((C35-D35)*0.5,2)</f>
        <v>0.39</v>
      </c>
      <c r="F35" s="257">
        <f>ROUND(E35/(8.76*'Table 8'!$D$126),2)</f>
        <v>0.09</v>
      </c>
      <c r="G35" s="249"/>
      <c r="H35" s="256">
        <f t="shared" si="19"/>
        <v>2033</v>
      </c>
      <c r="I35" s="226">
        <f>+INDEX('Table 9'!C:C,MATCH('Tables 3 to 6'!$H35,'Table 9'!B:B,0))</f>
        <v>8.43</v>
      </c>
      <c r="J35" s="226">
        <f>I35*'Table 8'!$K$113/1000</f>
        <v>59.4315</v>
      </c>
      <c r="K35" s="226">
        <f t="shared" ref="K35" si="49">F35</f>
        <v>0.09</v>
      </c>
      <c r="L35" s="258">
        <f t="shared" ref="L35" si="50">J35+K35</f>
        <v>59.521500000000003</v>
      </c>
      <c r="M35" s="249"/>
      <c r="N35" s="256">
        <f t="shared" si="22"/>
        <v>2033</v>
      </c>
      <c r="O35" s="249">
        <f t="shared" ref="O35" si="51">D35+E35</f>
        <v>192.29999999999998</v>
      </c>
      <c r="P35" s="226">
        <f t="shared" ref="P35" si="52">L35</f>
        <v>59.521500000000003</v>
      </c>
      <c r="Q35" s="226">
        <f t="shared" si="24"/>
        <v>88.79</v>
      </c>
      <c r="R35" s="226">
        <f t="shared" si="24"/>
        <v>85.35</v>
      </c>
      <c r="S35" s="258">
        <f t="shared" si="24"/>
        <v>82.63</v>
      </c>
      <c r="T35" s="249"/>
      <c r="U35" s="256">
        <f t="shared" si="25"/>
        <v>2033</v>
      </c>
      <c r="V35" s="249">
        <f t="shared" ref="V35" si="53">D35+E35</f>
        <v>192.29999999999998</v>
      </c>
      <c r="W35" s="226">
        <f>ROUND(V35/(8.76*'Table 8'!$D$127*0.57),2)</f>
        <v>43.66</v>
      </c>
      <c r="X35" s="226">
        <f t="shared" ref="X35" si="54">L35</f>
        <v>59.521500000000003</v>
      </c>
      <c r="Y35" s="226">
        <f t="shared" ref="Y35" si="55">W35+X35</f>
        <v>103.1815</v>
      </c>
      <c r="Z35" s="258">
        <f t="shared" ref="Z35" si="56">X35</f>
        <v>59.521500000000003</v>
      </c>
    </row>
    <row r="36" spans="2:26">
      <c r="B36" s="256">
        <f t="shared" si="29"/>
        <v>2034</v>
      </c>
      <c r="C36" s="249">
        <f>+INDEX('Table 8'!$H$60:$H$86,MATCH($B36,'Table 8'!$B$60:$B$86,0))</f>
        <v>196.56</v>
      </c>
      <c r="D36" s="249">
        <f>+INDEX('Table 8'!$H$10:$H$36,MATCH($B36,'Table 8'!$B$10:$B$36,0))</f>
        <v>195.75</v>
      </c>
      <c r="E36" s="249">
        <f t="shared" si="30"/>
        <v>0.41</v>
      </c>
      <c r="F36" s="257">
        <f>ROUND(E36/(8.76*'Table 8'!$D$126),2)</f>
        <v>0.09</v>
      </c>
      <c r="G36" s="249"/>
      <c r="H36" s="256">
        <f t="shared" si="19"/>
        <v>2034</v>
      </c>
      <c r="I36" s="226">
        <f>+INDEX('Table 9'!C:C,MATCH('Tables 3 to 6'!$H36,'Table 9'!B:B,0))</f>
        <v>8.59</v>
      </c>
      <c r="J36" s="226">
        <f>I36*'Table 8'!$K$113/1000</f>
        <v>60.5595</v>
      </c>
      <c r="K36" s="226">
        <f t="shared" si="31"/>
        <v>0.09</v>
      </c>
      <c r="L36" s="258">
        <f t="shared" si="32"/>
        <v>60.649500000000003</v>
      </c>
      <c r="M36" s="249"/>
      <c r="N36" s="256">
        <f t="shared" si="22"/>
        <v>2034</v>
      </c>
      <c r="O36" s="249">
        <f t="shared" si="33"/>
        <v>196.16</v>
      </c>
      <c r="P36" s="226">
        <f t="shared" si="34"/>
        <v>60.649500000000003</v>
      </c>
      <c r="Q36" s="226">
        <f t="shared" si="24"/>
        <v>90.51</v>
      </c>
      <c r="R36" s="226">
        <f t="shared" si="24"/>
        <v>86.99</v>
      </c>
      <c r="S36" s="258">
        <f t="shared" si="24"/>
        <v>84.22</v>
      </c>
      <c r="T36" s="249"/>
      <c r="U36" s="256">
        <f t="shared" si="25"/>
        <v>2034</v>
      </c>
      <c r="V36" s="249">
        <f t="shared" si="35"/>
        <v>196.16</v>
      </c>
      <c r="W36" s="226">
        <f>ROUND(V36/(8.76*'Table 8'!$D$127*0.57),2)</f>
        <v>44.54</v>
      </c>
      <c r="X36" s="226">
        <f t="shared" si="36"/>
        <v>60.649500000000003</v>
      </c>
      <c r="Y36" s="226">
        <f t="shared" si="37"/>
        <v>105.18950000000001</v>
      </c>
      <c r="Z36" s="258">
        <f t="shared" si="38"/>
        <v>60.649500000000003</v>
      </c>
    </row>
    <row r="37" spans="2:26">
      <c r="B37" s="256">
        <f t="shared" si="29"/>
        <v>2035</v>
      </c>
      <c r="C37" s="249">
        <f>+INDEX('Table 8'!$H$60:$H$86,MATCH($B37,'Table 8'!$B$60:$B$86,0))</f>
        <v>200.27</v>
      </c>
      <c r="D37" s="249">
        <f>+INDEX('Table 8'!$H$10:$H$36,MATCH($B37,'Table 8'!$B$10:$B$36,0))</f>
        <v>199.47</v>
      </c>
      <c r="E37" s="249">
        <f t="shared" si="30"/>
        <v>0.4</v>
      </c>
      <c r="F37" s="257">
        <f>ROUND(E37/(8.76*'Table 8'!$D$126),2)</f>
        <v>0.09</v>
      </c>
      <c r="G37" s="249"/>
      <c r="H37" s="256">
        <f t="shared" si="19"/>
        <v>2035</v>
      </c>
      <c r="I37" s="226">
        <f>+INDEX('Table 9'!C:C,MATCH('Tables 3 to 6'!$H37,'Table 9'!B:B,0))</f>
        <v>8.76</v>
      </c>
      <c r="J37" s="226">
        <f>I37*'Table 8'!$K$113/1000</f>
        <v>61.758000000000003</v>
      </c>
      <c r="K37" s="226">
        <f t="shared" si="31"/>
        <v>0.09</v>
      </c>
      <c r="L37" s="258">
        <f t="shared" si="32"/>
        <v>61.848000000000006</v>
      </c>
      <c r="M37" s="249"/>
      <c r="N37" s="256">
        <f t="shared" si="22"/>
        <v>2035</v>
      </c>
      <c r="O37" s="249">
        <f t="shared" si="33"/>
        <v>199.87</v>
      </c>
      <c r="P37" s="226">
        <f t="shared" si="34"/>
        <v>61.848000000000006</v>
      </c>
      <c r="Q37" s="226">
        <f t="shared" si="24"/>
        <v>92.27</v>
      </c>
      <c r="R37" s="226">
        <f t="shared" si="24"/>
        <v>88.69</v>
      </c>
      <c r="S37" s="258">
        <f t="shared" si="24"/>
        <v>85.87</v>
      </c>
      <c r="T37" s="249"/>
      <c r="U37" s="256">
        <f t="shared" si="25"/>
        <v>2035</v>
      </c>
      <c r="V37" s="249">
        <f t="shared" si="35"/>
        <v>199.87</v>
      </c>
      <c r="W37" s="226">
        <f>ROUND(V37/(8.76*'Table 8'!$D$127*0.57),2)</f>
        <v>45.38</v>
      </c>
      <c r="X37" s="226">
        <f t="shared" si="36"/>
        <v>61.848000000000006</v>
      </c>
      <c r="Y37" s="226">
        <f t="shared" si="37"/>
        <v>107.22800000000001</v>
      </c>
      <c r="Z37" s="258">
        <f t="shared" si="38"/>
        <v>61.848000000000006</v>
      </c>
    </row>
    <row r="38" spans="2:26">
      <c r="B38" s="259">
        <f t="shared" si="29"/>
        <v>2036</v>
      </c>
      <c r="C38" s="260">
        <f>+INDEX('Table 8'!$H$60:$H$86,MATCH($B38,'Table 8'!$B$60:$B$86,0))</f>
        <v>204.1</v>
      </c>
      <c r="D38" s="260">
        <f>+INDEX('Table 8'!$H$10:$H$36,MATCH($B38,'Table 8'!$B$10:$B$36,0))</f>
        <v>203.26</v>
      </c>
      <c r="E38" s="260">
        <f t="shared" si="30"/>
        <v>0.42</v>
      </c>
      <c r="F38" s="261">
        <f>ROUND(E38/(8.76*'Table 8'!$D$126),2)</f>
        <v>0.1</v>
      </c>
      <c r="G38" s="249"/>
      <c r="H38" s="259">
        <f t="shared" si="19"/>
        <v>2036</v>
      </c>
      <c r="I38" s="262">
        <f>+INDEX('Table 9'!C:C,MATCH('Tables 3 to 6'!$H38,'Table 9'!B:B,0))</f>
        <v>8.92</v>
      </c>
      <c r="J38" s="262">
        <f>I38*'Table 8'!$K$113/1000</f>
        <v>62.886000000000003</v>
      </c>
      <c r="K38" s="262">
        <f t="shared" si="31"/>
        <v>0.1</v>
      </c>
      <c r="L38" s="263">
        <f t="shared" si="32"/>
        <v>62.986000000000004</v>
      </c>
      <c r="M38" s="249"/>
      <c r="N38" s="259">
        <f t="shared" si="22"/>
        <v>2036</v>
      </c>
      <c r="O38" s="260">
        <f t="shared" si="33"/>
        <v>203.67999999999998</v>
      </c>
      <c r="P38" s="262">
        <f t="shared" si="34"/>
        <v>62.986000000000004</v>
      </c>
      <c r="Q38" s="262">
        <f t="shared" si="24"/>
        <v>93.99</v>
      </c>
      <c r="R38" s="262">
        <f t="shared" si="24"/>
        <v>90.34</v>
      </c>
      <c r="S38" s="263">
        <f t="shared" si="24"/>
        <v>87.46</v>
      </c>
      <c r="T38" s="249"/>
      <c r="U38" s="259">
        <f t="shared" si="25"/>
        <v>2036</v>
      </c>
      <c r="V38" s="260">
        <f t="shared" si="35"/>
        <v>203.67999999999998</v>
      </c>
      <c r="W38" s="262">
        <f>ROUND(V38/(8.76*'Table 8'!$D$127*0.57),2)</f>
        <v>46.25</v>
      </c>
      <c r="X38" s="262">
        <f t="shared" si="36"/>
        <v>62.986000000000004</v>
      </c>
      <c r="Y38" s="262">
        <f t="shared" si="37"/>
        <v>109.236</v>
      </c>
      <c r="Z38" s="263">
        <f t="shared" si="38"/>
        <v>62.986000000000004</v>
      </c>
    </row>
    <row r="40" spans="2:26">
      <c r="B40" s="98" t="s">
        <v>22</v>
      </c>
      <c r="H40" s="98" t="s">
        <v>22</v>
      </c>
      <c r="N40" s="98" t="s">
        <v>22</v>
      </c>
      <c r="U40" s="98" t="s">
        <v>22</v>
      </c>
    </row>
    <row r="41" spans="2:26">
      <c r="B41" s="113" t="str">
        <f>C8</f>
        <v>(a)</v>
      </c>
      <c r="C41" s="266" t="str">
        <f>"  "&amp;'Table 8'!$B$1&amp;"  Column "&amp;'Table 8'!$H$7</f>
        <v xml:space="preserve">  Table 8  Column (f)</v>
      </c>
      <c r="H41" s="113" t="str">
        <f>I8</f>
        <v>(a)</v>
      </c>
      <c r="I41" s="98" t="str">
        <f>"  "&amp;'Table 8'!$B$1&amp;"  Column "&amp;'Table 8'!$I$57</f>
        <v xml:space="preserve">  Table 8  Column (g)</v>
      </c>
      <c r="N41" s="267" t="str">
        <f>O8</f>
        <v>(a)</v>
      </c>
      <c r="O41" s="202" t="str">
        <f>"  "&amp;$B$1&amp;"  Column "&amp;$D$8&amp;" + "&amp;$B$1&amp;"  Column "&amp;$E$8</f>
        <v xml:space="preserve">  Table 3  Column (b) + Table 3  Column (c)</v>
      </c>
      <c r="P41" s="202"/>
      <c r="Q41" s="202"/>
      <c r="U41" s="267" t="str">
        <f>V8</f>
        <v>(a)</v>
      </c>
      <c r="V41" s="202" t="str">
        <f>"  "&amp;$B$1&amp;"  Column "&amp;$D$8&amp;" + "&amp;$B$1&amp;"  Column "&amp;$E$8</f>
        <v xml:space="preserve">  Table 3  Column (b) + Table 3  Column (c)</v>
      </c>
      <c r="X41" s="202"/>
    </row>
    <row r="42" spans="2:26">
      <c r="B42" s="113" t="str">
        <f>D8</f>
        <v>(b)</v>
      </c>
      <c r="C42" s="266" t="str">
        <f>C41</f>
        <v xml:space="preserve">  Table 8  Column (f)</v>
      </c>
      <c r="H42" s="113" t="str">
        <f>J8</f>
        <v>(b)</v>
      </c>
      <c r="I42" s="98" t="str">
        <f>"  "&amp;'Table 8'!$B$1&amp;"  Column "&amp;'Table 8'!K57&amp;" Heat rate "&amp;TEXT('Table 8'!$K$113/1000,"?.000")&amp;" MMBtu/MWh"</f>
        <v xml:space="preserve">  Table 8  Column (i) Heat rate 7.050 MMBtu/MWh</v>
      </c>
      <c r="N42" s="113" t="str">
        <f>P8</f>
        <v>(b)</v>
      </c>
      <c r="O42" s="98" t="str">
        <f>"  "&amp;$H$1&amp;"  Column "&amp;$L$8</f>
        <v xml:space="preserve">  Table 4  Column (d)</v>
      </c>
      <c r="U42" s="113" t="str">
        <f>W8</f>
        <v>(b)</v>
      </c>
      <c r="V42" s="98" t="str">
        <f>"  "&amp;'Table 8'!B1&amp;"   "&amp;TEXT('Table 8'!$D$127,"0.0%")&amp;" is the on-peak capacity factor of the Proxy Resource"</f>
        <v xml:space="preserve">  Table 8   88.2% is the on-peak capacity factor of the Proxy Resource</v>
      </c>
    </row>
    <row r="43" spans="2:26">
      <c r="B43" s="113"/>
      <c r="C43" s="266" t="str">
        <f>"  "&amp;'Table 11'!$B$1&amp;"  For the Number Of Deficit Months Per Year"</f>
        <v xml:space="preserve">  Table 11  For the Number Of Deficit Months Per Year</v>
      </c>
      <c r="H43" s="113" t="str">
        <f>K8</f>
        <v>(c)</v>
      </c>
      <c r="I43" s="98" t="str">
        <f>"  "&amp;$B$1&amp;"  Column "&amp;$F$8</f>
        <v xml:space="preserve">  Table 3  Column (d)</v>
      </c>
      <c r="N43" s="113" t="s">
        <v>25</v>
      </c>
      <c r="O43" s="268" t="s">
        <v>187</v>
      </c>
      <c r="V43" s="268" t="s">
        <v>187</v>
      </c>
    </row>
    <row r="44" spans="2:26">
      <c r="B44" s="113" t="str">
        <f>E8</f>
        <v>(c)</v>
      </c>
      <c r="C44" s="266" t="s">
        <v>88</v>
      </c>
      <c r="H44" s="229" t="str">
        <f>L8</f>
        <v>(d)</v>
      </c>
      <c r="I44" s="98" t="str">
        <f>"  For "&amp;H12&amp;"-"&amp;MAX(H14:H21)&amp;" - "&amp;'Table 2'!A1</f>
        <v xml:space="preserve">  For 2012-2019 - Table 2</v>
      </c>
      <c r="N44" s="113"/>
      <c r="O44" s="268"/>
      <c r="U44" s="113" t="str">
        <f>X8</f>
        <v>(c)</v>
      </c>
      <c r="V44" s="98" t="str">
        <f>"  "&amp;$H$1&amp;"  Column "&amp;$L$8</f>
        <v xml:space="preserve">  Table 4  Column (d)</v>
      </c>
    </row>
    <row r="45" spans="2:26">
      <c r="C45" s="266" t="s">
        <v>212</v>
      </c>
      <c r="H45" s="229"/>
      <c r="N45" s="113"/>
      <c r="O45" s="268"/>
      <c r="U45" s="113"/>
    </row>
    <row r="46" spans="2:26">
      <c r="B46" s="113" t="str">
        <f>F8</f>
        <v>(d)</v>
      </c>
      <c r="C46" s="266" t="str">
        <f>"  "&amp;TEXT('Table 8'!$D$126,"0.0%")&amp;" CCCT Energy Weighted Capacity Factor - "&amp;'Table 8'!$B$1&amp;" page 3"</f>
        <v xml:space="preserve">  50.3% CCCT Energy Weighted Capacity Factor - Table 8 page 3</v>
      </c>
      <c r="G46" s="98"/>
      <c r="M46" s="98"/>
      <c r="T46" s="98"/>
    </row>
  </sheetData>
  <phoneticPr fontId="6" type="noConversion"/>
  <printOptions horizontalCentered="1"/>
  <pageMargins left="0.25" right="0.25" top="0.75" bottom="0.75" header="0.3" footer="0.3"/>
  <pageSetup orientation="portrait" r:id="rId1"/>
  <headerFooter alignWithMargins="0">
    <oddFooter>&amp;L&amp;8NPC Group - &amp;F   ( &amp;A )&amp;C &amp;R &amp;8&amp;D  &amp;T</oddFooter>
  </headerFooter>
  <colBreaks count="3" manualBreakCount="3">
    <brk id="6" max="49" man="1"/>
    <brk id="12" max="49" man="1"/>
    <brk id="19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M55"/>
  <sheetViews>
    <sheetView showGridLines="0" zoomScaleNormal="100" zoomScaleSheetLayoutView="85" workbookViewId="0">
      <selection activeCell="K19" sqref="K19"/>
    </sheetView>
  </sheetViews>
  <sheetFormatPr defaultRowHeight="12.75"/>
  <cols>
    <col min="1" max="1" width="13.6640625" style="98" customWidth="1"/>
    <col min="2" max="2" width="13.1640625" style="98" customWidth="1"/>
    <col min="3" max="3" width="6" style="98" customWidth="1"/>
    <col min="4" max="5" width="25.5" style="98" customWidth="1"/>
    <col min="6" max="6" width="9.33203125" style="98"/>
    <col min="7" max="7" width="9.33203125" style="98" customWidth="1"/>
    <col min="8" max="16384" width="9.33203125" style="98"/>
  </cols>
  <sheetData>
    <row r="1" spans="1:5" s="5" customFormat="1" ht="15.75">
      <c r="A1" s="1" t="s">
        <v>40</v>
      </c>
      <c r="B1" s="6"/>
      <c r="C1" s="6"/>
      <c r="D1" s="6"/>
      <c r="E1" s="6"/>
    </row>
    <row r="2" spans="1:5" s="7" customFormat="1" ht="15">
      <c r="A2" s="3" t="s">
        <v>73</v>
      </c>
      <c r="B2" s="3"/>
      <c r="C2" s="3"/>
      <c r="D2" s="3"/>
      <c r="E2" s="3"/>
    </row>
    <row r="4" spans="1:5">
      <c r="A4" s="205"/>
      <c r="B4" s="206" t="s">
        <v>137</v>
      </c>
      <c r="C4" s="206"/>
      <c r="D4" s="207"/>
      <c r="E4" s="207"/>
    </row>
    <row r="5" spans="1:5">
      <c r="A5" s="208" t="s">
        <v>3</v>
      </c>
      <c r="B5" s="209" t="s">
        <v>72</v>
      </c>
      <c r="C5" s="210"/>
      <c r="D5" s="211" t="s">
        <v>70</v>
      </c>
      <c r="E5" s="212" t="s">
        <v>32</v>
      </c>
    </row>
    <row r="6" spans="1:5">
      <c r="A6" s="213"/>
      <c r="B6" s="214" t="s">
        <v>135</v>
      </c>
      <c r="C6" s="215"/>
      <c r="D6" s="216" t="s">
        <v>71</v>
      </c>
      <c r="E6" s="212"/>
    </row>
    <row r="7" spans="1:5">
      <c r="A7" s="217"/>
      <c r="B7" s="218" t="s">
        <v>142</v>
      </c>
      <c r="C7" s="219"/>
      <c r="D7" s="220" t="s">
        <v>142</v>
      </c>
      <c r="E7" s="221" t="s">
        <v>142</v>
      </c>
    </row>
    <row r="8" spans="1:5">
      <c r="B8" s="222" t="s">
        <v>23</v>
      </c>
      <c r="C8" s="222"/>
      <c r="D8" s="223" t="s">
        <v>24</v>
      </c>
      <c r="E8" s="223" t="s">
        <v>25</v>
      </c>
    </row>
    <row r="9" spans="1:5">
      <c r="B9" s="223"/>
      <c r="C9" s="223"/>
      <c r="D9" s="223"/>
      <c r="E9" s="4" t="str">
        <f>B8&amp;" - "&amp;D8</f>
        <v>(a) - (b)</v>
      </c>
    </row>
    <row r="10" spans="1:5">
      <c r="B10" s="223"/>
      <c r="C10" s="223"/>
      <c r="D10" s="223"/>
      <c r="E10" s="4"/>
    </row>
    <row r="11" spans="1:5">
      <c r="A11" s="224">
        <f>'Tables 3 to 6'!B12</f>
        <v>2012</v>
      </c>
      <c r="B11" s="225">
        <f>+INDEX('Tables 3 to 6'!R:R,MATCH(A11,'Tables 3 to 6'!B:B,0))</f>
        <v>35.76</v>
      </c>
      <c r="C11" s="226"/>
      <c r="D11" s="226">
        <v>43.66</v>
      </c>
      <c r="E11" s="226">
        <f t="shared" ref="E11:E34" si="0">B11-D11</f>
        <v>-7.8999999999999986</v>
      </c>
    </row>
    <row r="12" spans="1:5" s="202" customFormat="1">
      <c r="A12" s="224">
        <f>A11+1</f>
        <v>2013</v>
      </c>
      <c r="B12" s="225">
        <f>+INDEX('Tables 3 to 6'!R:R,MATCH(A12,'Tables 3 to 6'!B:B,0))</f>
        <v>35.340000000000003</v>
      </c>
      <c r="C12" s="226"/>
      <c r="D12" s="226">
        <v>47.22</v>
      </c>
      <c r="E12" s="226">
        <f t="shared" si="0"/>
        <v>-11.879999999999995</v>
      </c>
    </row>
    <row r="13" spans="1:5">
      <c r="A13" s="224">
        <f t="shared" ref="A13:A35" si="1">A12+1</f>
        <v>2014</v>
      </c>
      <c r="B13" s="225">
        <f>+INDEX('Tables 3 to 6'!R:R,MATCH(A13,'Tables 3 to 6'!B:B,0))</f>
        <v>41.29</v>
      </c>
      <c r="C13" s="226"/>
      <c r="D13" s="226">
        <v>48.84</v>
      </c>
      <c r="E13" s="226">
        <f t="shared" si="0"/>
        <v>-7.5500000000000043</v>
      </c>
    </row>
    <row r="14" spans="1:5">
      <c r="A14" s="224">
        <f t="shared" si="1"/>
        <v>2015</v>
      </c>
      <c r="B14" s="225">
        <f>+INDEX('Tables 3 to 6'!R:R,MATCH(A14,'Tables 3 to 6'!B:B,0))</f>
        <v>44.31</v>
      </c>
      <c r="C14" s="226"/>
      <c r="D14" s="226">
        <v>60.67</v>
      </c>
      <c r="E14" s="226">
        <f t="shared" ref="E14" si="2">B14-D14</f>
        <v>-16.36</v>
      </c>
    </row>
    <row r="15" spans="1:5">
      <c r="A15" s="224">
        <f t="shared" si="1"/>
        <v>2016</v>
      </c>
      <c r="B15" s="225">
        <f>+INDEX('Tables 3 to 6'!R:R,MATCH(A15,'Tables 3 to 6'!B:B,0))</f>
        <v>45.95</v>
      </c>
      <c r="C15" s="226"/>
      <c r="D15" s="226">
        <v>63.32</v>
      </c>
      <c r="E15" s="226">
        <f t="shared" si="0"/>
        <v>-17.369999999999997</v>
      </c>
    </row>
    <row r="16" spans="1:5">
      <c r="A16" s="224">
        <f t="shared" si="1"/>
        <v>2017</v>
      </c>
      <c r="B16" s="225">
        <f>+INDEX('Tables 3 to 6'!R:R,MATCH(A16,'Tables 3 to 6'!B:B,0))</f>
        <v>45.98</v>
      </c>
      <c r="C16" s="226"/>
      <c r="D16" s="226">
        <v>66.75</v>
      </c>
      <c r="E16" s="226">
        <f t="shared" si="0"/>
        <v>-20.770000000000003</v>
      </c>
    </row>
    <row r="17" spans="1:5">
      <c r="A17" s="224">
        <f t="shared" si="1"/>
        <v>2018</v>
      </c>
      <c r="B17" s="225">
        <f>+INDEX('Tables 3 to 6'!R:R,MATCH(A17,'Tables 3 to 6'!B:B,0))</f>
        <v>53.88</v>
      </c>
      <c r="C17" s="226"/>
      <c r="D17" s="226">
        <v>70.11</v>
      </c>
      <c r="E17" s="226">
        <f t="shared" si="0"/>
        <v>-16.229999999999997</v>
      </c>
    </row>
    <row r="18" spans="1:5">
      <c r="A18" s="224">
        <f t="shared" si="1"/>
        <v>2019</v>
      </c>
      <c r="B18" s="225">
        <f>+INDEX('Tables 3 to 6'!R:R,MATCH(A18,'Tables 3 to 6'!B:B,0))</f>
        <v>48.33</v>
      </c>
      <c r="C18" s="226"/>
      <c r="D18" s="226">
        <v>72.739999999999995</v>
      </c>
      <c r="E18" s="226">
        <f t="shared" si="0"/>
        <v>-24.409999999999997</v>
      </c>
    </row>
    <row r="19" spans="1:5">
      <c r="A19" s="224">
        <f t="shared" si="1"/>
        <v>2020</v>
      </c>
      <c r="B19" s="225">
        <f>+INDEX('Tables 3 to 6'!R:R,MATCH(A19,'Tables 3 to 6'!B:B,0))</f>
        <v>60.86</v>
      </c>
      <c r="C19" s="226"/>
      <c r="D19" s="226">
        <v>73.77</v>
      </c>
      <c r="E19" s="226">
        <f t="shared" si="0"/>
        <v>-12.909999999999997</v>
      </c>
    </row>
    <row r="20" spans="1:5">
      <c r="A20" s="224">
        <f t="shared" si="1"/>
        <v>2021</v>
      </c>
      <c r="B20" s="225">
        <f>+INDEX('Tables 3 to 6'!R:R,MATCH(A20,'Tables 3 to 6'!B:B,0))</f>
        <v>63.55</v>
      </c>
      <c r="C20" s="226"/>
      <c r="D20" s="226">
        <v>74.86</v>
      </c>
      <c r="E20" s="226">
        <f t="shared" si="0"/>
        <v>-11.310000000000002</v>
      </c>
    </row>
    <row r="21" spans="1:5">
      <c r="A21" s="224">
        <f t="shared" si="1"/>
        <v>2022</v>
      </c>
      <c r="B21" s="225">
        <f>+INDEX('Tables 3 to 6'!R:R,MATCH(A21,'Tables 3 to 6'!B:B,0))</f>
        <v>68.14</v>
      </c>
      <c r="C21" s="226"/>
      <c r="D21" s="226">
        <v>76.81</v>
      </c>
      <c r="E21" s="226">
        <f t="shared" si="0"/>
        <v>-8.6700000000000017</v>
      </c>
    </row>
    <row r="22" spans="1:5">
      <c r="A22" s="224">
        <f t="shared" si="1"/>
        <v>2023</v>
      </c>
      <c r="B22" s="225">
        <f>+INDEX('Tables 3 to 6'!R:R,MATCH(A22,'Tables 3 to 6'!B:B,0))</f>
        <v>70.010000000000005</v>
      </c>
      <c r="C22" s="226"/>
      <c r="D22" s="226">
        <v>80.540000000000006</v>
      </c>
      <c r="E22" s="226">
        <f t="shared" si="0"/>
        <v>-10.530000000000001</v>
      </c>
    </row>
    <row r="23" spans="1:5">
      <c r="A23" s="224">
        <f t="shared" si="1"/>
        <v>2024</v>
      </c>
      <c r="B23" s="225">
        <f>+INDEX('Tables 3 to 6'!R:R,MATCH(A23,'Tables 3 to 6'!B:B,0))</f>
        <v>69.55</v>
      </c>
      <c r="C23" s="226"/>
      <c r="D23" s="226">
        <v>84.61</v>
      </c>
      <c r="E23" s="226">
        <f t="shared" si="0"/>
        <v>-15.060000000000002</v>
      </c>
    </row>
    <row r="24" spans="1:5">
      <c r="A24" s="224">
        <f t="shared" si="1"/>
        <v>2025</v>
      </c>
      <c r="B24" s="225">
        <f>+INDEX('Tables 3 to 6'!R:R,MATCH(A24,'Tables 3 to 6'!B:B,0))</f>
        <v>71.28</v>
      </c>
      <c r="C24" s="226"/>
      <c r="D24" s="226">
        <v>83.43</v>
      </c>
      <c r="E24" s="226">
        <f t="shared" si="0"/>
        <v>-12.150000000000006</v>
      </c>
    </row>
    <row r="25" spans="1:5">
      <c r="A25" s="224">
        <f t="shared" si="1"/>
        <v>2026</v>
      </c>
      <c r="B25" s="225">
        <f>+INDEX('Tables 3 to 6'!R:R,MATCH(A25,'Tables 3 to 6'!B:B,0))</f>
        <v>74.5</v>
      </c>
      <c r="C25" s="226"/>
      <c r="D25" s="226">
        <v>78.25</v>
      </c>
      <c r="E25" s="226">
        <f t="shared" si="0"/>
        <v>-3.75</v>
      </c>
    </row>
    <row r="26" spans="1:5">
      <c r="A26" s="224">
        <f t="shared" si="1"/>
        <v>2027</v>
      </c>
      <c r="B26" s="225">
        <f>+INDEX('Tables 3 to 6'!R:R,MATCH(A26,'Tables 3 to 6'!B:B,0))</f>
        <v>76.78</v>
      </c>
      <c r="C26" s="226"/>
      <c r="D26" s="226">
        <v>74.900000000000006</v>
      </c>
      <c r="E26" s="226">
        <f t="shared" si="0"/>
        <v>1.8799999999999955</v>
      </c>
    </row>
    <row r="27" spans="1:5">
      <c r="A27" s="224">
        <f t="shared" si="1"/>
        <v>2028</v>
      </c>
      <c r="B27" s="225">
        <f>+INDEX('Tables 3 to 6'!R:R,MATCH(A27,'Tables 3 to 6'!B:B,0))</f>
        <v>78.34</v>
      </c>
      <c r="C27" s="226"/>
      <c r="D27" s="226">
        <v>82.03</v>
      </c>
      <c r="E27" s="226">
        <f t="shared" si="0"/>
        <v>-3.6899999999999977</v>
      </c>
    </row>
    <row r="28" spans="1:5">
      <c r="A28" s="224">
        <f t="shared" si="1"/>
        <v>2029</v>
      </c>
      <c r="B28" s="225">
        <f>+INDEX('Tables 3 to 6'!R:R,MATCH(A28,'Tables 3 to 6'!B:B,0))</f>
        <v>79.63</v>
      </c>
      <c r="C28" s="226"/>
      <c r="D28" s="226">
        <v>84.36</v>
      </c>
      <c r="E28" s="226">
        <f t="shared" si="0"/>
        <v>-4.730000000000004</v>
      </c>
    </row>
    <row r="29" spans="1:5">
      <c r="A29" s="224">
        <f t="shared" si="1"/>
        <v>2030</v>
      </c>
      <c r="B29" s="225">
        <f>+INDEX('Tables 3 to 6'!R:R,MATCH(A29,'Tables 3 to 6'!B:B,0))</f>
        <v>80.37</v>
      </c>
      <c r="C29" s="226"/>
      <c r="D29" s="226">
        <v>85.84</v>
      </c>
      <c r="E29" s="226">
        <f t="shared" si="0"/>
        <v>-5.4699999999999989</v>
      </c>
    </row>
    <row r="30" spans="1:5">
      <c r="A30" s="224">
        <f t="shared" si="1"/>
        <v>2031</v>
      </c>
      <c r="B30" s="225">
        <f>+INDEX('Tables 3 to 6'!R:R,MATCH(A30,'Tables 3 to 6'!B:B,0))</f>
        <v>82.13</v>
      </c>
      <c r="C30" s="226"/>
      <c r="D30" s="226">
        <v>87.47</v>
      </c>
      <c r="E30" s="226">
        <f t="shared" si="0"/>
        <v>-5.3400000000000034</v>
      </c>
    </row>
    <row r="31" spans="1:5">
      <c r="A31" s="224">
        <f t="shared" si="1"/>
        <v>2032</v>
      </c>
      <c r="B31" s="225">
        <f>+INDEX('Tables 3 to 6'!R:R,MATCH(A31,'Tables 3 to 6'!B:B,0))</f>
        <v>83.73</v>
      </c>
      <c r="C31" s="226"/>
      <c r="D31" s="226">
        <v>89.17</v>
      </c>
      <c r="E31" s="226">
        <f t="shared" si="0"/>
        <v>-5.4399999999999977</v>
      </c>
    </row>
    <row r="32" spans="1:5">
      <c r="A32" s="224">
        <f t="shared" si="1"/>
        <v>2033</v>
      </c>
      <c r="B32" s="225">
        <f>+INDEX('Tables 3 to 6'!R:R,MATCH(A32,'Tables 3 to 6'!B:B,0))</f>
        <v>85.35</v>
      </c>
      <c r="C32" s="226"/>
      <c r="D32" s="226">
        <v>90.82</v>
      </c>
      <c r="E32" s="226">
        <f t="shared" si="0"/>
        <v>-5.4699999999999989</v>
      </c>
    </row>
    <row r="33" spans="1:13">
      <c r="A33" s="224">
        <f t="shared" si="1"/>
        <v>2034</v>
      </c>
      <c r="B33" s="225">
        <f>+INDEX('Tables 3 to 6'!R:R,MATCH(A33,'Tables 3 to 6'!B:B,0))</f>
        <v>86.99</v>
      </c>
      <c r="C33" s="226"/>
      <c r="D33" s="226">
        <v>92.55</v>
      </c>
      <c r="E33" s="226">
        <f t="shared" si="0"/>
        <v>-5.5600000000000023</v>
      </c>
    </row>
    <row r="34" spans="1:13">
      <c r="A34" s="224">
        <f t="shared" si="1"/>
        <v>2035</v>
      </c>
      <c r="B34" s="225">
        <f>+INDEX('Tables 3 to 6'!R:R,MATCH(A34,'Tables 3 to 6'!B:B,0))</f>
        <v>88.69</v>
      </c>
      <c r="C34" s="226"/>
      <c r="D34" s="226">
        <v>94.25</v>
      </c>
      <c r="E34" s="226">
        <f t="shared" si="0"/>
        <v>-5.5600000000000023</v>
      </c>
    </row>
    <row r="35" spans="1:13">
      <c r="A35" s="224">
        <f t="shared" si="1"/>
        <v>2036</v>
      </c>
      <c r="B35" s="225">
        <f>+INDEX('Tables 3 to 6'!R:R,MATCH(A35,'Tables 3 to 6'!B:B,0))</f>
        <v>90.34</v>
      </c>
      <c r="C35" s="226"/>
      <c r="D35" s="226"/>
      <c r="E35" s="226"/>
    </row>
    <row r="37" spans="1:13">
      <c r="A37" s="227" t="str">
        <f>"20 Year ("&amp;A11&amp;" to "&amp;A30&amp;") Levelized Prices (Nominal) @ "&amp;TEXT($G$38,"?.000%")&amp;" Discount Rate (2)"</f>
        <v>20 Year (2012 to 2031) Levelized Prices (Nominal) @ 7.154% Discount Rate (2)</v>
      </c>
      <c r="F37" s="112"/>
      <c r="G37" s="98" t="s">
        <v>184</v>
      </c>
    </row>
    <row r="38" spans="1:13">
      <c r="A38" s="113" t="s">
        <v>43</v>
      </c>
      <c r="B38" s="225">
        <f>-PMT($G$38,COUNT(B11:B30),NPV($G$38,B11:B30))</f>
        <v>55.295448690395112</v>
      </c>
      <c r="C38" s="115"/>
      <c r="D38" s="226">
        <f>-PMT($G$38,COUNT(D11:D30),NPV($G$38,D11:D30))</f>
        <v>67.174735952505884</v>
      </c>
      <c r="E38" s="226">
        <f>B38-D38</f>
        <v>-11.879287262110772</v>
      </c>
      <c r="F38" s="115"/>
      <c r="G38" s="228">
        <v>7.1540000000000006E-2</v>
      </c>
    </row>
    <row r="39" spans="1:13">
      <c r="B39" s="110"/>
      <c r="C39" s="110"/>
      <c r="D39" s="110"/>
      <c r="E39" s="110"/>
      <c r="F39" s="110"/>
      <c r="G39" s="61"/>
    </row>
    <row r="40" spans="1:13">
      <c r="A40" s="98" t="s">
        <v>22</v>
      </c>
    </row>
    <row r="41" spans="1:13">
      <c r="A41" s="113" t="str">
        <f>B8</f>
        <v>(a)</v>
      </c>
      <c r="B41" s="98" t="str">
        <f>"  "&amp;'Tables 3 to 6'!$N$1&amp;"  Column "&amp;'Tables 3 to 6'!$R$8</f>
        <v xml:space="preserve">  Table 5  Column (d)</v>
      </c>
    </row>
    <row r="42" spans="1:13">
      <c r="A42" s="113" t="str">
        <f>D8</f>
        <v>(b)</v>
      </c>
      <c r="B42" s="98" t="s">
        <v>188</v>
      </c>
    </row>
    <row r="43" spans="1:13">
      <c r="A43" s="229"/>
      <c r="B43" s="200"/>
      <c r="D43" s="110"/>
      <c r="E43" s="110"/>
      <c r="F43" s="110"/>
      <c r="G43" s="110"/>
      <c r="H43" s="110"/>
      <c r="I43" s="110"/>
      <c r="J43" s="230"/>
      <c r="K43" s="230"/>
      <c r="L43" s="230"/>
      <c r="M43" s="230"/>
    </row>
    <row r="44" spans="1:13">
      <c r="A44" s="113" t="s">
        <v>134</v>
      </c>
      <c r="B44" s="98" t="s">
        <v>138</v>
      </c>
    </row>
    <row r="45" spans="1:13">
      <c r="B45" s="98" t="s">
        <v>136</v>
      </c>
    </row>
    <row r="46" spans="1:13">
      <c r="B46" s="98" t="s">
        <v>185</v>
      </c>
    </row>
    <row r="55" ht="24.75" customHeight="1"/>
  </sheetData>
  <phoneticPr fontId="6" type="noConversion"/>
  <printOptions horizontalCentered="1"/>
  <pageMargins left="0.25" right="0.25" top="0.75" bottom="0.75" header="0.3" footer="0.3"/>
  <pageSetup orientation="portrait" r:id="rId1"/>
  <headerFooter alignWithMargins="0">
    <oddFooter>&amp;L&amp;8NPC Group - &amp;F   ( &amp;A )&amp;C &amp;R &amp;8&amp;D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O147"/>
  <sheetViews>
    <sheetView showGridLines="0" topLeftCell="A94" zoomScaleNormal="100" zoomScaleSheetLayoutView="100" workbookViewId="0">
      <selection activeCell="K19" sqref="K19"/>
    </sheetView>
  </sheetViews>
  <sheetFormatPr defaultRowHeight="12.75"/>
  <cols>
    <col min="1" max="1" width="1.33203125" style="117" customWidth="1"/>
    <col min="2" max="2" width="6.5" style="117" customWidth="1"/>
    <col min="3" max="3" width="9.83203125" style="117" customWidth="1"/>
    <col min="4" max="4" width="12.1640625" style="117" customWidth="1"/>
    <col min="5" max="5" width="9.1640625" style="117" customWidth="1"/>
    <col min="6" max="6" width="9.83203125" style="117" bestFit="1" customWidth="1"/>
    <col min="7" max="8" width="10.1640625" style="117" customWidth="1"/>
    <col min="9" max="9" width="9" style="117" customWidth="1"/>
    <col min="10" max="10" width="10.33203125" style="117" customWidth="1"/>
    <col min="11" max="11" width="10.5" style="117" customWidth="1"/>
    <col min="12" max="13" width="9.33203125" style="117"/>
    <col min="14" max="15" width="0" style="117" hidden="1" customWidth="1"/>
    <col min="16" max="16384" width="9.33203125" style="117"/>
  </cols>
  <sheetData>
    <row r="1" spans="1:12" ht="15.75">
      <c r="B1" s="24" t="s">
        <v>113</v>
      </c>
      <c r="C1" s="145"/>
      <c r="D1" s="145"/>
      <c r="E1" s="145"/>
      <c r="F1" s="145"/>
      <c r="G1" s="145"/>
      <c r="H1" s="145"/>
      <c r="I1" s="145"/>
      <c r="J1" s="145"/>
      <c r="K1" s="24"/>
    </row>
    <row r="2" spans="1:12" ht="15.75">
      <c r="B2" s="24" t="s">
        <v>114</v>
      </c>
      <c r="C2" s="145"/>
      <c r="D2" s="145"/>
      <c r="E2" s="145"/>
      <c r="F2" s="145"/>
      <c r="G2" s="145"/>
      <c r="H2" s="145"/>
      <c r="I2" s="145"/>
      <c r="J2" s="145"/>
      <c r="K2" s="145"/>
    </row>
    <row r="3" spans="1:12" ht="15.75">
      <c r="B3" s="24"/>
      <c r="C3" s="145"/>
      <c r="D3" s="145"/>
      <c r="E3" s="145"/>
      <c r="F3" s="145"/>
      <c r="G3" s="145"/>
      <c r="H3" s="145"/>
      <c r="I3" s="145"/>
      <c r="J3" s="145"/>
      <c r="K3" s="150" t="s">
        <v>115</v>
      </c>
    </row>
    <row r="4" spans="1:12" ht="5.25" customHeight="1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3"/>
    </row>
    <row r="5" spans="1:12" ht="51.75" customHeight="1">
      <c r="A5" s="154"/>
      <c r="B5" s="25" t="s">
        <v>3</v>
      </c>
      <c r="C5" s="26" t="s">
        <v>45</v>
      </c>
      <c r="D5" s="26" t="s">
        <v>46</v>
      </c>
      <c r="E5" s="26" t="s">
        <v>47</v>
      </c>
      <c r="F5" s="26" t="s">
        <v>48</v>
      </c>
      <c r="G5" s="26" t="s">
        <v>49</v>
      </c>
      <c r="H5" s="26" t="s">
        <v>50</v>
      </c>
      <c r="I5" s="152"/>
      <c r="J5" s="152"/>
      <c r="K5" s="152"/>
      <c r="L5" s="153"/>
    </row>
    <row r="6" spans="1:12" ht="18.75" customHeight="1">
      <c r="B6" s="27"/>
      <c r="C6" s="28" t="s">
        <v>41</v>
      </c>
      <c r="D6" s="29" t="s">
        <v>42</v>
      </c>
      <c r="E6" s="29" t="s">
        <v>42</v>
      </c>
      <c r="F6" s="29" t="s">
        <v>43</v>
      </c>
      <c r="G6" s="29" t="s">
        <v>42</v>
      </c>
      <c r="H6" s="29" t="s">
        <v>42</v>
      </c>
      <c r="I6" s="152"/>
      <c r="J6" s="152"/>
      <c r="K6" s="152"/>
      <c r="L6" s="153"/>
    </row>
    <row r="7" spans="1:12">
      <c r="C7" s="30" t="s">
        <v>23</v>
      </c>
      <c r="D7" s="30" t="s">
        <v>24</v>
      </c>
      <c r="E7" s="30" t="s">
        <v>25</v>
      </c>
      <c r="F7" s="30" t="s">
        <v>26</v>
      </c>
      <c r="G7" s="30" t="s">
        <v>27</v>
      </c>
      <c r="H7" s="30" t="s">
        <v>34</v>
      </c>
      <c r="I7" s="152"/>
      <c r="J7" s="152"/>
      <c r="K7" s="152"/>
    </row>
    <row r="8" spans="1:12" ht="6" customHeight="1">
      <c r="I8" s="152"/>
      <c r="J8" s="152"/>
      <c r="K8" s="152"/>
    </row>
    <row r="9" spans="1:12" ht="15.75">
      <c r="B9" s="31" t="str">
        <f>C43</f>
        <v>SCCT Frame (2 Frame "F" - Utah) - East Side Resource (4500')</v>
      </c>
      <c r="C9" s="153"/>
      <c r="E9" s="153"/>
      <c r="F9" s="153"/>
      <c r="G9" s="153"/>
      <c r="H9" s="153"/>
      <c r="I9" s="152"/>
      <c r="J9" s="152"/>
      <c r="K9" s="152"/>
      <c r="L9" s="153"/>
    </row>
    <row r="10" spans="1:12">
      <c r="B10" s="155">
        <v>2010</v>
      </c>
      <c r="C10" s="156">
        <f>C45</f>
        <v>990.7189879953529</v>
      </c>
      <c r="D10" s="157">
        <f>ROUND(C10*C48,2)</f>
        <v>81.72</v>
      </c>
      <c r="E10" s="157">
        <f>C46</f>
        <v>28.61748350976</v>
      </c>
      <c r="F10" s="157">
        <f>C47</f>
        <v>8.225087150663791</v>
      </c>
      <c r="G10" s="158">
        <f t="shared" ref="G10:G34" si="0">ROUND(F10*(8.76*$C$49)+E10,2)</f>
        <v>43.75</v>
      </c>
      <c r="H10" s="158">
        <f t="shared" ref="H10:H34" si="1">ROUND(D10+G10,2)</f>
        <v>125.47</v>
      </c>
      <c r="I10" s="152"/>
      <c r="J10" s="152"/>
      <c r="K10" s="152"/>
    </row>
    <row r="11" spans="1:12">
      <c r="B11" s="155">
        <f t="shared" ref="B11:B34" si="2">B10+1</f>
        <v>2011</v>
      </c>
      <c r="C11" s="159"/>
      <c r="D11" s="157">
        <f>ROUND(D10*(1+$D$132),2)</f>
        <v>83.6</v>
      </c>
      <c r="E11" s="157">
        <f>ROUND(E10*(1+$D$132),2)</f>
        <v>29.28</v>
      </c>
      <c r="F11" s="157">
        <f>ROUND(F10*(1+$D$132),2)</f>
        <v>8.41</v>
      </c>
      <c r="G11" s="158">
        <f t="shared" ref="G11:G24" si="3">ROUND(F11*(8.76*$C$49)+E11,2)</f>
        <v>44.75</v>
      </c>
      <c r="H11" s="158">
        <f t="shared" si="1"/>
        <v>128.35</v>
      </c>
      <c r="I11" s="152"/>
      <c r="J11" s="152"/>
      <c r="K11" s="152"/>
    </row>
    <row r="12" spans="1:12">
      <c r="B12" s="155">
        <f t="shared" si="2"/>
        <v>2012</v>
      </c>
      <c r="C12" s="159"/>
      <c r="D12" s="158">
        <f>ROUND(D11*(1+$D$133),2)</f>
        <v>84.85</v>
      </c>
      <c r="E12" s="158">
        <f>ROUND(E11*(1+$D$133),2)</f>
        <v>29.72</v>
      </c>
      <c r="F12" s="158">
        <f>ROUND(F11*(1+$D$133),2)</f>
        <v>8.5399999999999991</v>
      </c>
      <c r="G12" s="158">
        <f t="shared" si="3"/>
        <v>45.43</v>
      </c>
      <c r="H12" s="158">
        <f t="shared" si="1"/>
        <v>130.28</v>
      </c>
      <c r="I12" s="160"/>
      <c r="J12" s="160"/>
      <c r="K12" s="161"/>
    </row>
    <row r="13" spans="1:12">
      <c r="B13" s="155">
        <f t="shared" si="2"/>
        <v>2013</v>
      </c>
      <c r="C13" s="159"/>
      <c r="D13" s="158">
        <f>ROUND(D12*(1+$D$134),2)</f>
        <v>86.38</v>
      </c>
      <c r="E13" s="158">
        <f>ROUND(E12*(1+$D$134),2)</f>
        <v>30.25</v>
      </c>
      <c r="F13" s="158">
        <f>ROUND(F12*(1+$D$134),2)</f>
        <v>8.69</v>
      </c>
      <c r="G13" s="158">
        <f t="shared" si="3"/>
        <v>46.24</v>
      </c>
      <c r="H13" s="158">
        <f t="shared" si="1"/>
        <v>132.62</v>
      </c>
      <c r="I13" s="160"/>
      <c r="J13" s="160"/>
      <c r="K13" s="161"/>
    </row>
    <row r="14" spans="1:12">
      <c r="B14" s="155">
        <f t="shared" si="2"/>
        <v>2014</v>
      </c>
      <c r="C14" s="159"/>
      <c r="D14" s="158">
        <f>ROUND(D13*(1+$D$135),2)</f>
        <v>88.02</v>
      </c>
      <c r="E14" s="158">
        <f>ROUND(E13*(1+$D$135),2)</f>
        <v>30.82</v>
      </c>
      <c r="F14" s="158">
        <f>ROUND(F13*(1+$D$135),2)</f>
        <v>8.86</v>
      </c>
      <c r="G14" s="158">
        <f t="shared" si="3"/>
        <v>47.12</v>
      </c>
      <c r="H14" s="158">
        <f t="shared" si="1"/>
        <v>135.13999999999999</v>
      </c>
      <c r="I14" s="160"/>
      <c r="J14" s="160"/>
      <c r="K14" s="161"/>
    </row>
    <row r="15" spans="1:12">
      <c r="B15" s="155">
        <f t="shared" si="2"/>
        <v>2015</v>
      </c>
      <c r="C15" s="159"/>
      <c r="D15" s="158">
        <f>ROUND(D14*(1+$D$136),2)</f>
        <v>89.78</v>
      </c>
      <c r="E15" s="158">
        <f>ROUND(E14*(1+$D$136),2)</f>
        <v>31.44</v>
      </c>
      <c r="F15" s="158">
        <f>ROUND(F14*(1+$D$136),2)</f>
        <v>9.0399999999999991</v>
      </c>
      <c r="G15" s="158">
        <f t="shared" si="3"/>
        <v>48.07</v>
      </c>
      <c r="H15" s="158">
        <f t="shared" si="1"/>
        <v>137.85</v>
      </c>
      <c r="I15" s="160"/>
      <c r="J15" s="160"/>
      <c r="K15" s="161"/>
    </row>
    <row r="16" spans="1:12">
      <c r="B16" s="155">
        <f t="shared" si="2"/>
        <v>2016</v>
      </c>
      <c r="C16" s="159"/>
      <c r="D16" s="158">
        <f>ROUND(D15*(1+$D$137),2)</f>
        <v>91.49</v>
      </c>
      <c r="E16" s="158">
        <f>ROUND(E15*(1+$D$137),2)</f>
        <v>32.04</v>
      </c>
      <c r="F16" s="158">
        <f>ROUND(F15*(1+$D$137),2)</f>
        <v>9.2100000000000009</v>
      </c>
      <c r="G16" s="158">
        <f t="shared" si="3"/>
        <v>48.98</v>
      </c>
      <c r="H16" s="158">
        <f t="shared" si="1"/>
        <v>140.47</v>
      </c>
      <c r="I16" s="160"/>
      <c r="J16" s="160"/>
      <c r="K16" s="161"/>
    </row>
    <row r="17" spans="2:11">
      <c r="B17" s="155">
        <f t="shared" si="2"/>
        <v>2017</v>
      </c>
      <c r="C17" s="159"/>
      <c r="D17" s="162">
        <f>ROUND(D16*(1+$D$138),2)</f>
        <v>93.23</v>
      </c>
      <c r="E17" s="162">
        <f>ROUND(E16*(1+$D$138),2)</f>
        <v>32.65</v>
      </c>
      <c r="F17" s="162">
        <f>ROUND(F16*(1+$D$138),2)</f>
        <v>9.3800000000000008</v>
      </c>
      <c r="G17" s="158">
        <f t="shared" si="3"/>
        <v>49.91</v>
      </c>
      <c r="H17" s="158">
        <f t="shared" si="1"/>
        <v>143.13999999999999</v>
      </c>
      <c r="I17" s="160"/>
      <c r="J17" s="160"/>
      <c r="K17" s="161"/>
    </row>
    <row r="18" spans="2:11">
      <c r="B18" s="155">
        <f t="shared" si="2"/>
        <v>2018</v>
      </c>
      <c r="C18" s="159"/>
      <c r="D18" s="162">
        <f>ROUND(D17*(1+$D$139),2)</f>
        <v>95</v>
      </c>
      <c r="E18" s="162">
        <f>ROUND(E17*(1+$D$139),2)</f>
        <v>33.270000000000003</v>
      </c>
      <c r="F18" s="162">
        <f>ROUND(F17*(1+$D$139),2)</f>
        <v>9.56</v>
      </c>
      <c r="G18" s="158">
        <f t="shared" si="3"/>
        <v>50.86</v>
      </c>
      <c r="H18" s="158">
        <f t="shared" si="1"/>
        <v>145.86000000000001</v>
      </c>
      <c r="I18" s="160"/>
      <c r="J18" s="160"/>
      <c r="K18" s="161"/>
    </row>
    <row r="19" spans="2:11">
      <c r="B19" s="155">
        <f t="shared" si="2"/>
        <v>2019</v>
      </c>
      <c r="C19" s="159"/>
      <c r="D19" s="162">
        <f>ROUND(D18*(1+$G$131),2)</f>
        <v>96.71</v>
      </c>
      <c r="E19" s="162">
        <f>ROUND(E18*(1+$G$131),2)</f>
        <v>33.869999999999997</v>
      </c>
      <c r="F19" s="162">
        <f>ROUND(F18*(1+$G$131),2)</f>
        <v>9.73</v>
      </c>
      <c r="G19" s="158">
        <f t="shared" si="3"/>
        <v>51.77</v>
      </c>
      <c r="H19" s="158">
        <f t="shared" si="1"/>
        <v>148.47999999999999</v>
      </c>
      <c r="I19" s="160"/>
      <c r="J19" s="160"/>
      <c r="K19" s="161"/>
    </row>
    <row r="20" spans="2:11">
      <c r="B20" s="155">
        <f t="shared" si="2"/>
        <v>2020</v>
      </c>
      <c r="C20" s="159"/>
      <c r="D20" s="162">
        <f>ROUND(D19*(1+$G$132),2)</f>
        <v>98.35</v>
      </c>
      <c r="E20" s="162">
        <f>ROUND(E19*(1+$G$132),2)</f>
        <v>34.450000000000003</v>
      </c>
      <c r="F20" s="162">
        <f>ROUND(F19*(1+$G$132),2)</f>
        <v>9.9</v>
      </c>
      <c r="G20" s="158">
        <f t="shared" si="3"/>
        <v>52.66</v>
      </c>
      <c r="H20" s="158">
        <f t="shared" si="1"/>
        <v>151.01</v>
      </c>
      <c r="I20" s="160"/>
      <c r="J20" s="160"/>
      <c r="K20" s="161"/>
    </row>
    <row r="21" spans="2:11">
      <c r="B21" s="155">
        <f t="shared" si="2"/>
        <v>2021</v>
      </c>
      <c r="C21" s="159"/>
      <c r="D21" s="162">
        <f>ROUND(D20*(1+$G$133),2)</f>
        <v>100.12</v>
      </c>
      <c r="E21" s="162">
        <f>ROUND(E20*(1+$G$133),2)</f>
        <v>35.07</v>
      </c>
      <c r="F21" s="162">
        <f>ROUND(F20*(1+$G$133),2)</f>
        <v>10.08</v>
      </c>
      <c r="G21" s="158">
        <f t="shared" si="3"/>
        <v>53.61</v>
      </c>
      <c r="H21" s="158">
        <f t="shared" si="1"/>
        <v>153.72999999999999</v>
      </c>
      <c r="I21" s="160"/>
      <c r="J21" s="160"/>
      <c r="K21" s="161"/>
    </row>
    <row r="22" spans="2:11">
      <c r="B22" s="155">
        <f t="shared" si="2"/>
        <v>2022</v>
      </c>
      <c r="C22" s="159"/>
      <c r="D22" s="162">
        <f>ROUND(D21*(1+$G$134),2)</f>
        <v>101.92</v>
      </c>
      <c r="E22" s="162">
        <f>ROUND(E21*(1+$G$134),2)</f>
        <v>35.700000000000003</v>
      </c>
      <c r="F22" s="162">
        <f>ROUND(F21*(1+$G$134),2)</f>
        <v>10.26</v>
      </c>
      <c r="G22" s="158">
        <f t="shared" si="3"/>
        <v>54.57</v>
      </c>
      <c r="H22" s="158">
        <f t="shared" si="1"/>
        <v>156.49</v>
      </c>
      <c r="I22" s="160"/>
      <c r="J22" s="160"/>
      <c r="K22" s="161"/>
    </row>
    <row r="23" spans="2:11">
      <c r="B23" s="155">
        <f t="shared" si="2"/>
        <v>2023</v>
      </c>
      <c r="C23" s="159"/>
      <c r="D23" s="162">
        <f>ROUND(D22*(1+$G$135),2)</f>
        <v>103.75</v>
      </c>
      <c r="E23" s="162">
        <f>ROUND(E22*(1+$G$135),2)</f>
        <v>36.340000000000003</v>
      </c>
      <c r="F23" s="162">
        <f>ROUND(F22*(1+$G$135),2)</f>
        <v>10.44</v>
      </c>
      <c r="G23" s="158">
        <f t="shared" si="3"/>
        <v>55.55</v>
      </c>
      <c r="H23" s="158">
        <f t="shared" si="1"/>
        <v>159.30000000000001</v>
      </c>
      <c r="I23" s="160"/>
      <c r="J23" s="160"/>
      <c r="K23" s="161"/>
    </row>
    <row r="24" spans="2:11">
      <c r="B24" s="155">
        <f t="shared" si="2"/>
        <v>2024</v>
      </c>
      <c r="C24" s="159"/>
      <c r="D24" s="162">
        <f>ROUND(D23*(1+$G$136),2)</f>
        <v>105.62</v>
      </c>
      <c r="E24" s="162">
        <f>ROUND(E23*(1+$G$136),2)</f>
        <v>36.99</v>
      </c>
      <c r="F24" s="162">
        <f>ROUND(F23*(1+$G$136),2)</f>
        <v>10.63</v>
      </c>
      <c r="G24" s="158">
        <f t="shared" si="3"/>
        <v>56.54</v>
      </c>
      <c r="H24" s="158">
        <f t="shared" si="1"/>
        <v>162.16</v>
      </c>
      <c r="I24" s="160"/>
      <c r="J24" s="160"/>
      <c r="K24" s="161"/>
    </row>
    <row r="25" spans="2:11">
      <c r="B25" s="155">
        <f t="shared" si="2"/>
        <v>2025</v>
      </c>
      <c r="C25" s="159"/>
      <c r="D25" s="162">
        <f>ROUND(D24*(1+$G$137),2)</f>
        <v>107.52</v>
      </c>
      <c r="E25" s="162">
        <f>ROUND(E24*(1+$G$137),2)</f>
        <v>37.659999999999997</v>
      </c>
      <c r="F25" s="162">
        <f>ROUND(F24*(1+$G$137),2)</f>
        <v>10.82</v>
      </c>
      <c r="G25" s="158">
        <f t="shared" si="0"/>
        <v>57.56</v>
      </c>
      <c r="H25" s="158">
        <f t="shared" si="1"/>
        <v>165.08</v>
      </c>
      <c r="I25" s="160"/>
      <c r="J25" s="160"/>
      <c r="K25" s="161"/>
    </row>
    <row r="26" spans="2:11">
      <c r="B26" s="155">
        <f t="shared" si="2"/>
        <v>2026</v>
      </c>
      <c r="C26" s="159"/>
      <c r="D26" s="162">
        <f>ROUND(D25*(1+$G$138),2)</f>
        <v>109.46</v>
      </c>
      <c r="E26" s="162">
        <f>ROUND(E25*(1+$G$138),2)</f>
        <v>38.340000000000003</v>
      </c>
      <c r="F26" s="162">
        <f>ROUND(F25*(1+$G$138),2)</f>
        <v>11.01</v>
      </c>
      <c r="G26" s="158">
        <f t="shared" si="0"/>
        <v>58.59</v>
      </c>
      <c r="H26" s="158">
        <f t="shared" si="1"/>
        <v>168.05</v>
      </c>
      <c r="I26" s="160"/>
      <c r="J26" s="160"/>
      <c r="K26" s="161"/>
    </row>
    <row r="27" spans="2:11">
      <c r="B27" s="155">
        <f t="shared" si="2"/>
        <v>2027</v>
      </c>
      <c r="C27" s="159"/>
      <c r="D27" s="162">
        <f>ROUND(D26*(1+$G$139),2)</f>
        <v>111.54</v>
      </c>
      <c r="E27" s="162">
        <f>ROUND(E26*(1+$G$139),2)</f>
        <v>39.07</v>
      </c>
      <c r="F27" s="162">
        <f>ROUND(F26*(1+$G$139),2)</f>
        <v>11.22</v>
      </c>
      <c r="G27" s="158">
        <f t="shared" si="0"/>
        <v>59.71</v>
      </c>
      <c r="H27" s="158">
        <f t="shared" si="1"/>
        <v>171.25</v>
      </c>
      <c r="I27" s="160"/>
      <c r="J27" s="160"/>
      <c r="K27" s="161"/>
    </row>
    <row r="28" spans="2:11">
      <c r="B28" s="155">
        <f t="shared" si="2"/>
        <v>2028</v>
      </c>
      <c r="C28" s="159"/>
      <c r="D28" s="162">
        <f>ROUND(D27*(1+$J$131),2)</f>
        <v>113.66</v>
      </c>
      <c r="E28" s="162">
        <f>ROUND(E27*(1+$J$131),2)</f>
        <v>39.81</v>
      </c>
      <c r="F28" s="162">
        <f>ROUND(F27*(1+$J$131),2)</f>
        <v>11.43</v>
      </c>
      <c r="G28" s="158">
        <f t="shared" si="0"/>
        <v>60.84</v>
      </c>
      <c r="H28" s="158">
        <f t="shared" si="1"/>
        <v>174.5</v>
      </c>
      <c r="I28" s="160"/>
      <c r="J28" s="160"/>
      <c r="K28" s="161"/>
    </row>
    <row r="29" spans="2:11">
      <c r="B29" s="155">
        <f t="shared" si="2"/>
        <v>2029</v>
      </c>
      <c r="C29" s="159"/>
      <c r="D29" s="162">
        <f>ROUND(D28*(1+$J$132),2)</f>
        <v>115.82</v>
      </c>
      <c r="E29" s="162">
        <f>ROUND(E28*(1+$J$132),2)</f>
        <v>40.57</v>
      </c>
      <c r="F29" s="162">
        <f>ROUND(F28*(1+$J$132),2)</f>
        <v>11.65</v>
      </c>
      <c r="G29" s="158">
        <f t="shared" si="0"/>
        <v>62</v>
      </c>
      <c r="H29" s="158">
        <f t="shared" si="1"/>
        <v>177.82</v>
      </c>
      <c r="I29" s="160"/>
      <c r="J29" s="160"/>
      <c r="K29" s="161"/>
    </row>
    <row r="30" spans="2:11">
      <c r="B30" s="155">
        <f t="shared" si="2"/>
        <v>2030</v>
      </c>
      <c r="C30" s="159"/>
      <c r="D30" s="162">
        <f>ROUND(D29*(1+$J$133),2)</f>
        <v>118.02</v>
      </c>
      <c r="E30" s="162">
        <f>ROUND(E29*(1+$J$133),2)</f>
        <v>41.34</v>
      </c>
      <c r="F30" s="162">
        <f>ROUND(F29*(1+$J$133),2)</f>
        <v>11.87</v>
      </c>
      <c r="G30" s="158">
        <f t="shared" si="0"/>
        <v>63.18</v>
      </c>
      <c r="H30" s="158">
        <f t="shared" si="1"/>
        <v>181.2</v>
      </c>
      <c r="I30" s="160"/>
      <c r="J30" s="160"/>
      <c r="K30" s="161"/>
    </row>
    <row r="31" spans="2:11">
      <c r="B31" s="155">
        <f t="shared" si="2"/>
        <v>2031</v>
      </c>
      <c r="C31" s="159"/>
      <c r="D31" s="162">
        <f>ROUND(D30*(1+$J$134),2)</f>
        <v>120.38</v>
      </c>
      <c r="E31" s="162">
        <f>ROUND(E30*(1+$J$134),2)</f>
        <v>42.17</v>
      </c>
      <c r="F31" s="162">
        <f>ROUND(F30*(1+$J$134),2)</f>
        <v>12.11</v>
      </c>
      <c r="G31" s="158">
        <f t="shared" si="0"/>
        <v>64.45</v>
      </c>
      <c r="H31" s="158">
        <f t="shared" si="1"/>
        <v>184.83</v>
      </c>
      <c r="I31" s="160"/>
      <c r="J31" s="160"/>
      <c r="K31" s="161"/>
    </row>
    <row r="32" spans="2:11">
      <c r="B32" s="155">
        <f t="shared" si="2"/>
        <v>2032</v>
      </c>
      <c r="C32" s="159"/>
      <c r="D32" s="162">
        <f>ROUND(D31*(1+$J$135),2)</f>
        <v>122.67</v>
      </c>
      <c r="E32" s="162">
        <f>ROUND(E31*(1+$J$135),2)</f>
        <v>42.97</v>
      </c>
      <c r="F32" s="162">
        <f>ROUND(F31*(1+$J$135),2)</f>
        <v>12.34</v>
      </c>
      <c r="G32" s="158">
        <f t="shared" si="0"/>
        <v>65.67</v>
      </c>
      <c r="H32" s="158">
        <f t="shared" si="1"/>
        <v>188.34</v>
      </c>
      <c r="I32" s="160"/>
      <c r="J32" s="160"/>
      <c r="K32" s="161"/>
    </row>
    <row r="33" spans="2:12">
      <c r="B33" s="155">
        <f t="shared" si="2"/>
        <v>2033</v>
      </c>
      <c r="C33" s="159"/>
      <c r="D33" s="162">
        <f>ROUND(D32*(1+$J$136),2)</f>
        <v>125</v>
      </c>
      <c r="E33" s="162">
        <f>ROUND(E32*(1+$J$136),2)</f>
        <v>43.79</v>
      </c>
      <c r="F33" s="162">
        <f>ROUND(F32*(1+$J$136),2)</f>
        <v>12.57</v>
      </c>
      <c r="G33" s="158">
        <f t="shared" si="0"/>
        <v>66.91</v>
      </c>
      <c r="H33" s="158">
        <f t="shared" si="1"/>
        <v>191.91</v>
      </c>
      <c r="I33" s="160"/>
      <c r="J33" s="160"/>
      <c r="K33" s="161"/>
    </row>
    <row r="34" spans="2:12">
      <c r="B34" s="155">
        <f t="shared" si="2"/>
        <v>2034</v>
      </c>
      <c r="C34" s="159"/>
      <c r="D34" s="162">
        <f>ROUND(D33*(1+$J$137),2)</f>
        <v>127.5</v>
      </c>
      <c r="E34" s="162">
        <f>ROUND(E33*(1+$J$137),2)</f>
        <v>44.67</v>
      </c>
      <c r="F34" s="162">
        <f>ROUND(F33*(1+$J$137),2)</f>
        <v>12.82</v>
      </c>
      <c r="G34" s="158">
        <f t="shared" si="0"/>
        <v>68.25</v>
      </c>
      <c r="H34" s="158">
        <f t="shared" si="1"/>
        <v>195.75</v>
      </c>
      <c r="I34" s="160"/>
      <c r="J34" s="160"/>
      <c r="K34" s="161"/>
    </row>
    <row r="35" spans="2:12">
      <c r="B35" s="155">
        <f>B34+1</f>
        <v>2035</v>
      </c>
      <c r="C35" s="159"/>
      <c r="D35" s="162">
        <f t="shared" ref="D35:F36" si="4">ROUND(D34*(1+$J$138),2)</f>
        <v>129.91999999999999</v>
      </c>
      <c r="E35" s="162">
        <f t="shared" si="4"/>
        <v>45.52</v>
      </c>
      <c r="F35" s="162">
        <f t="shared" si="4"/>
        <v>13.06</v>
      </c>
      <c r="G35" s="158">
        <f>ROUND(F35*(8.76*$C$49)+E35,2)</f>
        <v>69.55</v>
      </c>
      <c r="H35" s="158">
        <f>ROUND(D35+G35,2)</f>
        <v>199.47</v>
      </c>
      <c r="I35" s="160"/>
      <c r="J35" s="160"/>
      <c r="K35" s="161"/>
    </row>
    <row r="36" spans="2:12">
      <c r="B36" s="155">
        <f t="shared" ref="B36" si="5">B35+1</f>
        <v>2036</v>
      </c>
      <c r="C36" s="159"/>
      <c r="D36" s="162">
        <f t="shared" si="4"/>
        <v>132.38999999999999</v>
      </c>
      <c r="E36" s="162">
        <f t="shared" si="4"/>
        <v>46.38</v>
      </c>
      <c r="F36" s="162">
        <f t="shared" si="4"/>
        <v>13.31</v>
      </c>
      <c r="G36" s="158">
        <f>ROUND(F36*(8.76*$C$49)+E36,2)</f>
        <v>70.87</v>
      </c>
      <c r="H36" s="158">
        <f t="shared" ref="H36" si="6">ROUND(D36+G36,2)</f>
        <v>203.26</v>
      </c>
      <c r="I36" s="160"/>
      <c r="J36" s="160"/>
      <c r="K36" s="161"/>
    </row>
    <row r="37" spans="2:12" ht="6" customHeight="1">
      <c r="B37" s="163"/>
      <c r="C37" s="164"/>
      <c r="D37" s="165"/>
      <c r="E37" s="162"/>
      <c r="F37" s="162"/>
      <c r="G37" s="162"/>
      <c r="H37" s="162"/>
      <c r="I37" s="160"/>
      <c r="J37" s="160"/>
      <c r="K37" s="166"/>
    </row>
    <row r="38" spans="2:12">
      <c r="B38" s="167" t="str">
        <f>B94</f>
        <v>Source: (a)(c)(d)</v>
      </c>
      <c r="C38" s="167"/>
      <c r="D38" s="167" t="str">
        <f>D94</f>
        <v>Plant Costs  - 2011 IRP Update - [as modeled by PAR]</v>
      </c>
      <c r="E38" s="167"/>
      <c r="F38" s="167"/>
      <c r="G38" s="167"/>
      <c r="H38" s="167"/>
      <c r="I38" s="167"/>
      <c r="J38" s="167"/>
      <c r="K38" s="167"/>
      <c r="L38" s="167"/>
    </row>
    <row r="39" spans="2:12">
      <c r="B39" s="167"/>
      <c r="C39" s="168" t="str">
        <f>D7</f>
        <v>(b)</v>
      </c>
      <c r="D39" s="169" t="str">
        <f>"= "&amp;C7&amp;" x "&amp;C48&amp;D48</f>
        <v>= (a) x 0.08249  Payment Factor</v>
      </c>
      <c r="E39" s="167"/>
      <c r="F39" s="167"/>
      <c r="G39" s="167"/>
      <c r="H39" s="167"/>
      <c r="I39" s="167"/>
      <c r="J39" s="167"/>
      <c r="K39" s="167"/>
      <c r="L39" s="167"/>
    </row>
    <row r="40" spans="2:12">
      <c r="B40" s="167"/>
      <c r="C40" s="168" t="str">
        <f>G7</f>
        <v>(e)</v>
      </c>
      <c r="D40" s="169" t="str">
        <f>"= "&amp;$F$7&amp;" x  (8.76 x "&amp;TEXT(C49,"?%")&amp;" ) + "&amp;$E$7</f>
        <v>= (d) x  (8.76 x 21% ) + (c)</v>
      </c>
      <c r="E40" s="167"/>
      <c r="F40" s="167"/>
      <c r="G40" s="167"/>
      <c r="H40" s="167"/>
      <c r="I40" s="167"/>
      <c r="J40" s="167"/>
      <c r="K40" s="167"/>
      <c r="L40" s="167"/>
    </row>
    <row r="41" spans="2:12">
      <c r="B41" s="167"/>
      <c r="C41" s="168" t="str">
        <f>H7</f>
        <v>(f)</v>
      </c>
      <c r="D41" s="169" t="str">
        <f>"= "&amp;D7&amp;" + "&amp;G7</f>
        <v>= (b) + (e)</v>
      </c>
      <c r="E41" s="167"/>
      <c r="F41" s="167"/>
      <c r="G41" s="167"/>
      <c r="H41" s="167"/>
      <c r="I41" s="167"/>
      <c r="J41" s="167"/>
      <c r="K41" s="167"/>
      <c r="L41" s="167"/>
    </row>
    <row r="42" spans="2:12" ht="6" customHeight="1" thickBot="1">
      <c r="B42" s="167"/>
      <c r="C42" s="168"/>
      <c r="D42" s="169"/>
      <c r="E42" s="167"/>
      <c r="F42" s="167"/>
      <c r="G42" s="167"/>
      <c r="H42" s="167"/>
      <c r="I42" s="167"/>
      <c r="J42" s="167"/>
      <c r="K42" s="167"/>
      <c r="L42" s="167"/>
    </row>
    <row r="43" spans="2:12" ht="13.5" thickBot="1">
      <c r="B43" s="167"/>
      <c r="C43" s="32" t="s">
        <v>143</v>
      </c>
      <c r="D43" s="33"/>
      <c r="E43" s="34"/>
      <c r="F43" s="33"/>
      <c r="G43" s="33"/>
      <c r="H43" s="33"/>
      <c r="I43" s="33"/>
      <c r="J43" s="35"/>
      <c r="K43" s="36"/>
    </row>
    <row r="44" spans="2:12">
      <c r="B44" s="167"/>
      <c r="C44" s="167">
        <v>405</v>
      </c>
      <c r="D44" s="117" t="s">
        <v>116</v>
      </c>
      <c r="E44" s="167"/>
      <c r="J44" s="167"/>
      <c r="K44" s="167"/>
    </row>
    <row r="45" spans="2:12">
      <c r="B45" s="167"/>
      <c r="C45" s="170">
        <v>990.7189879953529</v>
      </c>
      <c r="D45" s="117" t="s">
        <v>117</v>
      </c>
      <c r="E45" s="171"/>
      <c r="F45" s="19"/>
      <c r="G45" s="20"/>
      <c r="H45" s="167"/>
      <c r="I45" s="167" t="s">
        <v>199</v>
      </c>
      <c r="J45" s="167"/>
      <c r="K45" s="167"/>
    </row>
    <row r="46" spans="2:12">
      <c r="B46" s="167"/>
      <c r="C46" s="172">
        <v>28.61748350976</v>
      </c>
      <c r="D46" s="98" t="s">
        <v>197</v>
      </c>
      <c r="E46" s="171"/>
      <c r="F46" s="19"/>
      <c r="G46" s="20"/>
      <c r="H46" s="167"/>
      <c r="I46" s="167"/>
      <c r="J46" s="167"/>
      <c r="K46" s="167"/>
    </row>
    <row r="47" spans="2:12">
      <c r="B47" s="167"/>
      <c r="C47" s="172">
        <v>8.225087150663791</v>
      </c>
      <c r="D47" s="98" t="s">
        <v>159</v>
      </c>
      <c r="E47" s="171"/>
      <c r="F47" s="19"/>
      <c r="G47" s="20"/>
      <c r="H47" s="167"/>
      <c r="I47" s="167"/>
      <c r="J47" s="167"/>
      <c r="K47" s="167"/>
    </row>
    <row r="48" spans="2:12">
      <c r="B48" s="167"/>
      <c r="C48" s="173">
        <v>8.2489999999999994E-2</v>
      </c>
      <c r="D48" s="117" t="s">
        <v>118</v>
      </c>
      <c r="E48" s="167"/>
      <c r="F48" s="167"/>
      <c r="G48" s="167"/>
      <c r="H48" s="167"/>
      <c r="I48" s="167"/>
      <c r="J48" s="167"/>
      <c r="K48" s="167"/>
    </row>
    <row r="49" spans="2:12">
      <c r="B49" s="167"/>
      <c r="C49" s="174">
        <v>0.21</v>
      </c>
      <c r="D49" s="117" t="s">
        <v>119</v>
      </c>
      <c r="E49" s="167"/>
      <c r="F49" s="167"/>
      <c r="G49" s="167"/>
      <c r="H49" s="167"/>
      <c r="I49" s="167"/>
      <c r="J49" s="167"/>
      <c r="K49" s="167"/>
    </row>
    <row r="50" spans="2:12" ht="3.75" customHeight="1">
      <c r="B50" s="167"/>
      <c r="C50" s="167"/>
      <c r="D50" s="175"/>
      <c r="E50" s="176"/>
      <c r="F50" s="177"/>
      <c r="G50" s="167"/>
      <c r="H50" s="167"/>
      <c r="I50" s="167"/>
      <c r="J50" s="167"/>
      <c r="K50" s="167"/>
    </row>
    <row r="51" spans="2:12" ht="15.75">
      <c r="B51" s="24" t="str">
        <f>$B$1</f>
        <v>Table 8</v>
      </c>
      <c r="C51" s="145"/>
      <c r="D51" s="145"/>
      <c r="E51" s="145"/>
      <c r="F51" s="145"/>
      <c r="G51" s="145"/>
      <c r="H51" s="145"/>
      <c r="I51" s="145"/>
      <c r="J51" s="145"/>
      <c r="K51" s="24"/>
    </row>
    <row r="52" spans="2:12" ht="15.75">
      <c r="B52" s="24" t="str">
        <f>B2</f>
        <v>Total Cost of Displaceable Resources</v>
      </c>
      <c r="C52" s="24"/>
      <c r="D52" s="145"/>
      <c r="E52" s="145"/>
      <c r="F52" s="145"/>
      <c r="G52" s="145"/>
      <c r="H52" s="145"/>
      <c r="I52" s="145"/>
      <c r="J52" s="145"/>
      <c r="K52" s="145"/>
    </row>
    <row r="53" spans="2:12" ht="15.75">
      <c r="B53" s="24"/>
      <c r="C53" s="145"/>
      <c r="D53" s="145"/>
      <c r="E53" s="145"/>
      <c r="F53" s="145"/>
      <c r="G53" s="145"/>
      <c r="H53" s="145"/>
      <c r="I53" s="145"/>
      <c r="J53" s="145"/>
      <c r="K53" s="150" t="s">
        <v>120</v>
      </c>
    </row>
    <row r="54" spans="2:12" ht="7.5" customHeight="1"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3"/>
    </row>
    <row r="55" spans="2:12" ht="51.75" customHeight="1">
      <c r="B55" s="25" t="s">
        <v>3</v>
      </c>
      <c r="C55" s="26" t="s">
        <v>45</v>
      </c>
      <c r="D55" s="26" t="s">
        <v>46</v>
      </c>
      <c r="E55" s="26" t="s">
        <v>47</v>
      </c>
      <c r="F55" s="26" t="s">
        <v>48</v>
      </c>
      <c r="G55" s="26" t="s">
        <v>49</v>
      </c>
      <c r="H55" s="26" t="s">
        <v>50</v>
      </c>
      <c r="I55" s="62" t="s">
        <v>35</v>
      </c>
      <c r="J55" s="62" t="s">
        <v>191</v>
      </c>
      <c r="K55" s="63" t="s">
        <v>192</v>
      </c>
      <c r="L55" s="153"/>
    </row>
    <row r="56" spans="2:12" ht="18.75" customHeight="1">
      <c r="B56" s="27"/>
      <c r="C56" s="28" t="s">
        <v>41</v>
      </c>
      <c r="D56" s="29" t="s">
        <v>42</v>
      </c>
      <c r="E56" s="29" t="s">
        <v>42</v>
      </c>
      <c r="F56" s="29" t="s">
        <v>43</v>
      </c>
      <c r="G56" s="29" t="s">
        <v>42</v>
      </c>
      <c r="H56" s="29" t="s">
        <v>42</v>
      </c>
      <c r="I56" s="64" t="s">
        <v>44</v>
      </c>
      <c r="J56" s="65" t="s">
        <v>193</v>
      </c>
      <c r="K56" s="65" t="s">
        <v>193</v>
      </c>
      <c r="L56" s="153"/>
    </row>
    <row r="57" spans="2:12">
      <c r="C57" s="30" t="s">
        <v>23</v>
      </c>
      <c r="D57" s="30" t="s">
        <v>24</v>
      </c>
      <c r="E57" s="30" t="s">
        <v>25</v>
      </c>
      <c r="F57" s="30" t="s">
        <v>26</v>
      </c>
      <c r="G57" s="30" t="s">
        <v>27</v>
      </c>
      <c r="H57" s="30" t="s">
        <v>34</v>
      </c>
      <c r="I57" s="22" t="s">
        <v>194</v>
      </c>
      <c r="J57" s="22" t="s">
        <v>195</v>
      </c>
      <c r="K57" s="22" t="s">
        <v>196</v>
      </c>
    </row>
    <row r="58" spans="2:12" ht="6" customHeight="1">
      <c r="I58" s="152"/>
      <c r="J58" s="152"/>
      <c r="K58" s="152"/>
    </row>
    <row r="59" spans="2:12" ht="15.75">
      <c r="B59" s="31" t="str">
        <f>C102</f>
        <v>CCCT (Dry "F" 2x1)  - East Side Resource (4500')</v>
      </c>
      <c r="C59" s="153"/>
      <c r="E59" s="153"/>
      <c r="F59" s="153"/>
      <c r="G59" s="153"/>
      <c r="H59" s="153"/>
      <c r="I59" s="152"/>
      <c r="J59" s="152"/>
      <c r="K59" s="152"/>
      <c r="L59" s="153"/>
    </row>
    <row r="60" spans="2:12">
      <c r="B60" s="155">
        <v>2010</v>
      </c>
      <c r="C60" s="156">
        <f>H108</f>
        <v>1024</v>
      </c>
      <c r="D60" s="157">
        <f>C60*$C$124</f>
        <v>83.968000000000004</v>
      </c>
      <c r="E60" s="178">
        <f>I108</f>
        <v>25.14</v>
      </c>
      <c r="F60" s="178">
        <f>J113</f>
        <v>3.82</v>
      </c>
      <c r="G60" s="162">
        <f t="shared" ref="G60" si="7">ROUND(F60*(8.76*$G$113)+E60,2)</f>
        <v>41.97</v>
      </c>
      <c r="H60" s="162">
        <f t="shared" ref="H60:H70" si="8">ROUND(D60+G60,2)</f>
        <v>125.94</v>
      </c>
      <c r="I60" s="152"/>
      <c r="J60" s="152"/>
      <c r="K60" s="152"/>
    </row>
    <row r="61" spans="2:12">
      <c r="B61" s="155">
        <f t="shared" ref="B61:B86" si="9">B60+1</f>
        <v>2011</v>
      </c>
      <c r="C61" s="159"/>
      <c r="D61" s="157">
        <f>ROUND(D60*(1+$D$132),2)</f>
        <v>85.9</v>
      </c>
      <c r="E61" s="157">
        <f>ROUND(E60*(1+$D$132),2)</f>
        <v>25.72</v>
      </c>
      <c r="F61" s="157">
        <f>ROUND(F60*(1+$D$132),2)</f>
        <v>3.91</v>
      </c>
      <c r="G61" s="158">
        <f t="shared" ref="G61:G70" si="10">ROUND(F61*(8.76*$G$113)+E61,2)</f>
        <v>42.95</v>
      </c>
      <c r="H61" s="162">
        <f t="shared" si="8"/>
        <v>128.85</v>
      </c>
      <c r="I61" s="152"/>
      <c r="J61" s="152"/>
      <c r="K61" s="152"/>
    </row>
    <row r="62" spans="2:12" s="153" customFormat="1">
      <c r="B62" s="163">
        <f t="shared" si="9"/>
        <v>2012</v>
      </c>
      <c r="C62" s="164"/>
      <c r="D62" s="158">
        <f>ROUND(D61*(1+$D$133),2)</f>
        <v>87.19</v>
      </c>
      <c r="E62" s="158">
        <f>ROUND(E61*(1+$D$133),2)</f>
        <v>26.11</v>
      </c>
      <c r="F62" s="158">
        <f>ROUND(F61*(1+$D$133),2)</f>
        <v>3.97</v>
      </c>
      <c r="G62" s="162">
        <f t="shared" si="10"/>
        <v>43.6</v>
      </c>
      <c r="H62" s="158">
        <f t="shared" si="8"/>
        <v>130.79</v>
      </c>
      <c r="I62" s="152"/>
      <c r="J62" s="152"/>
      <c r="K62" s="152"/>
    </row>
    <row r="63" spans="2:12" s="153" customFormat="1">
      <c r="B63" s="163">
        <f t="shared" si="9"/>
        <v>2013</v>
      </c>
      <c r="C63" s="164"/>
      <c r="D63" s="158">
        <f>ROUND(D62*(1+$D$134),2)</f>
        <v>88.76</v>
      </c>
      <c r="E63" s="158">
        <f>ROUND(E62*(1+$D$134),2)</f>
        <v>26.58</v>
      </c>
      <c r="F63" s="158">
        <f>ROUND(F62*(1+$D$134),2)</f>
        <v>4.04</v>
      </c>
      <c r="G63" s="162">
        <f t="shared" si="10"/>
        <v>44.38</v>
      </c>
      <c r="H63" s="162">
        <f t="shared" si="8"/>
        <v>133.13999999999999</v>
      </c>
      <c r="I63" s="152"/>
      <c r="J63" s="152"/>
      <c r="K63" s="152"/>
    </row>
    <row r="64" spans="2:12" s="153" customFormat="1">
      <c r="B64" s="163">
        <f t="shared" si="9"/>
        <v>2014</v>
      </c>
      <c r="C64" s="164"/>
      <c r="D64" s="158">
        <f>ROUND(D63*(1+$D$135),2)</f>
        <v>90.45</v>
      </c>
      <c r="E64" s="158">
        <f>ROUND(E63*(1+$D$135),2)</f>
        <v>27.09</v>
      </c>
      <c r="F64" s="158">
        <f>ROUND(F63*(1+$D$135),2)</f>
        <v>4.12</v>
      </c>
      <c r="G64" s="162">
        <f t="shared" si="10"/>
        <v>45.24</v>
      </c>
      <c r="H64" s="162">
        <f t="shared" si="8"/>
        <v>135.69</v>
      </c>
      <c r="I64" s="152"/>
      <c r="J64" s="152"/>
      <c r="K64" s="152"/>
    </row>
    <row r="65" spans="2:11" s="153" customFormat="1">
      <c r="B65" s="163">
        <f t="shared" si="9"/>
        <v>2015</v>
      </c>
      <c r="C65" s="164"/>
      <c r="D65" s="158">
        <f>ROUND(D64*(1+$D$136),2)</f>
        <v>92.26</v>
      </c>
      <c r="E65" s="158">
        <f>ROUND(E64*(1+$D$136),2)</f>
        <v>27.63</v>
      </c>
      <c r="F65" s="158">
        <f>ROUND(F64*(1+$D$136),2)</f>
        <v>4.2</v>
      </c>
      <c r="G65" s="162">
        <f t="shared" si="10"/>
        <v>46.14</v>
      </c>
      <c r="H65" s="162">
        <f t="shared" ref="H65:H66" si="11">ROUND(D65+G65,2)</f>
        <v>138.4</v>
      </c>
      <c r="I65" s="152"/>
      <c r="J65" s="152"/>
      <c r="K65" s="152"/>
    </row>
    <row r="66" spans="2:11">
      <c r="B66" s="155">
        <f t="shared" si="9"/>
        <v>2016</v>
      </c>
      <c r="C66" s="159"/>
      <c r="D66" s="157">
        <f>ROUND(D65*(1+$D$137),2)</f>
        <v>94.01</v>
      </c>
      <c r="E66" s="157">
        <f>ROUND(E65*(1+$D$137),2)</f>
        <v>28.15</v>
      </c>
      <c r="F66" s="157">
        <f>ROUND(F65*(1+$D$137),2)</f>
        <v>4.28</v>
      </c>
      <c r="G66" s="162">
        <f t="shared" si="10"/>
        <v>47.01</v>
      </c>
      <c r="H66" s="162">
        <f t="shared" si="11"/>
        <v>141.02000000000001</v>
      </c>
      <c r="I66" s="152"/>
      <c r="J66" s="152"/>
      <c r="K66" s="152"/>
    </row>
    <row r="67" spans="2:11">
      <c r="B67" s="155">
        <f t="shared" si="9"/>
        <v>2017</v>
      </c>
      <c r="C67" s="159"/>
      <c r="D67" s="162">
        <f>ROUND(D66*(1+$D$138),2)</f>
        <v>95.8</v>
      </c>
      <c r="E67" s="162">
        <f>ROUND(E66*(1+$D$138),2)</f>
        <v>28.68</v>
      </c>
      <c r="F67" s="162">
        <f>ROUND(F66*(1+$D$138),2)</f>
        <v>4.3600000000000003</v>
      </c>
      <c r="G67" s="162">
        <f t="shared" si="10"/>
        <v>47.89</v>
      </c>
      <c r="H67" s="162">
        <f t="shared" si="8"/>
        <v>143.69</v>
      </c>
      <c r="I67" s="152"/>
      <c r="J67" s="152"/>
      <c r="K67" s="152"/>
    </row>
    <row r="68" spans="2:11">
      <c r="B68" s="155">
        <f t="shared" si="9"/>
        <v>2018</v>
      </c>
      <c r="C68" s="159"/>
      <c r="D68" s="162">
        <f>ROUND(D67*(1+$D$139),2)</f>
        <v>97.62</v>
      </c>
      <c r="E68" s="162">
        <f>ROUND(E67*(1+$D$139),2)</f>
        <v>29.22</v>
      </c>
      <c r="F68" s="162">
        <f>ROUND(F67*(1+$D$139),2)</f>
        <v>4.4400000000000004</v>
      </c>
      <c r="G68" s="162">
        <f t="shared" si="10"/>
        <v>48.78</v>
      </c>
      <c r="H68" s="162">
        <f t="shared" si="8"/>
        <v>146.4</v>
      </c>
      <c r="I68" s="152"/>
      <c r="J68" s="152"/>
      <c r="K68" s="152"/>
    </row>
    <row r="69" spans="2:11">
      <c r="B69" s="155">
        <f t="shared" si="9"/>
        <v>2019</v>
      </c>
      <c r="C69" s="159"/>
      <c r="D69" s="162">
        <f>ROUND(D68*(1+$G$131),2)</f>
        <v>99.38</v>
      </c>
      <c r="E69" s="162">
        <f>ROUND(E68*(1+$G$131),2)</f>
        <v>29.75</v>
      </c>
      <c r="F69" s="162">
        <f>ROUND(F68*(1+$G$131),2)</f>
        <v>4.5199999999999996</v>
      </c>
      <c r="G69" s="162">
        <f t="shared" si="10"/>
        <v>49.67</v>
      </c>
      <c r="H69" s="162">
        <f t="shared" si="8"/>
        <v>149.05000000000001</v>
      </c>
      <c r="I69" s="152"/>
      <c r="J69" s="152"/>
      <c r="K69" s="152"/>
    </row>
    <row r="70" spans="2:11">
      <c r="B70" s="155">
        <f t="shared" si="9"/>
        <v>2020</v>
      </c>
      <c r="C70" s="159"/>
      <c r="D70" s="162">
        <f>ROUND(D69*(1+$G$132),2)</f>
        <v>101.07</v>
      </c>
      <c r="E70" s="162">
        <f>ROUND(E69*(1+$G$132),2)</f>
        <v>30.26</v>
      </c>
      <c r="F70" s="162">
        <f>ROUND(F69*(1+$G$132),2)</f>
        <v>4.5999999999999996</v>
      </c>
      <c r="G70" s="162">
        <f t="shared" si="10"/>
        <v>50.53</v>
      </c>
      <c r="H70" s="162">
        <f t="shared" si="8"/>
        <v>151.6</v>
      </c>
      <c r="I70" s="152"/>
      <c r="J70" s="152"/>
      <c r="K70" s="152"/>
    </row>
    <row r="71" spans="2:11" ht="13.5" thickBot="1">
      <c r="B71" s="179">
        <f t="shared" si="9"/>
        <v>2021</v>
      </c>
      <c r="C71" s="180"/>
      <c r="D71" s="181">
        <f>ROUND(D70*(1+$G$133),2)</f>
        <v>102.89</v>
      </c>
      <c r="E71" s="181">
        <f>ROUND(E70*(1+$G$133),2)</f>
        <v>30.8</v>
      </c>
      <c r="F71" s="181">
        <f>ROUND(F70*(1+$G$133),2)</f>
        <v>4.68</v>
      </c>
      <c r="G71" s="182">
        <f t="shared" ref="G71:G85" si="12">ROUND(F71*(8.76*$G$113)+E71,2)</f>
        <v>51.42</v>
      </c>
      <c r="H71" s="182">
        <f t="shared" ref="H71:H85" si="13">ROUND(D71+G71,2)</f>
        <v>154.31</v>
      </c>
      <c r="I71" s="183"/>
      <c r="J71" s="183"/>
      <c r="K71" s="183"/>
    </row>
    <row r="72" spans="2:11">
      <c r="B72" s="155">
        <f t="shared" si="9"/>
        <v>2022</v>
      </c>
      <c r="C72" s="159"/>
      <c r="D72" s="157">
        <f>ROUND(D71*(1+$G$134),2)</f>
        <v>104.74</v>
      </c>
      <c r="E72" s="157">
        <f>ROUND(E71*(1+$G$134),2)</f>
        <v>31.35</v>
      </c>
      <c r="F72" s="157">
        <f>ROUND(F71*(1+$G$134),2)</f>
        <v>4.76</v>
      </c>
      <c r="G72" s="162">
        <f t="shared" si="12"/>
        <v>52.32</v>
      </c>
      <c r="H72" s="162">
        <f t="shared" si="13"/>
        <v>157.06</v>
      </c>
      <c r="I72" s="184">
        <f>VLOOKUP(B72,'Table 9'!$B$10:$C$34,2,FALSE)</f>
        <v>6.67</v>
      </c>
      <c r="J72" s="184">
        <f>ROUND($K$113*I72/1000,2)</f>
        <v>47.02</v>
      </c>
      <c r="K72" s="184">
        <f>ROUND(H72*1000/8760/$G$113+J72,2)</f>
        <v>82.66</v>
      </c>
    </row>
    <row r="73" spans="2:11">
      <c r="B73" s="155">
        <f t="shared" si="9"/>
        <v>2023</v>
      </c>
      <c r="C73" s="159"/>
      <c r="D73" s="157">
        <f>ROUND(D72*(1+$G$135),2)</f>
        <v>106.63</v>
      </c>
      <c r="E73" s="157">
        <f>ROUND(E72*(1+$G$135),2)</f>
        <v>31.91</v>
      </c>
      <c r="F73" s="157">
        <f>ROUND(F72*(1+$G$135),2)</f>
        <v>4.8499999999999996</v>
      </c>
      <c r="G73" s="162">
        <f t="shared" si="12"/>
        <v>53.28</v>
      </c>
      <c r="H73" s="162">
        <f t="shared" si="13"/>
        <v>159.91</v>
      </c>
      <c r="I73" s="184">
        <f>VLOOKUP(B73,'Table 9'!$B$10:$C$34,2,FALSE)</f>
        <v>6.88</v>
      </c>
      <c r="J73" s="184">
        <f t="shared" ref="J73:J86" si="14">ROUND($K$113*I73/1000,2)</f>
        <v>48.5</v>
      </c>
      <c r="K73" s="184">
        <f t="shared" ref="K73:K86" si="15">ROUND(H73*1000/8760/$G$113+J73,2)</f>
        <v>84.79</v>
      </c>
    </row>
    <row r="74" spans="2:11">
      <c r="B74" s="155">
        <f t="shared" si="9"/>
        <v>2024</v>
      </c>
      <c r="C74" s="159"/>
      <c r="D74" s="162">
        <f>ROUND(D73*(1+$G$136),2)</f>
        <v>108.55</v>
      </c>
      <c r="E74" s="162">
        <f>ROUND(E73*(1+$G$136),2)</f>
        <v>32.479999999999997</v>
      </c>
      <c r="F74" s="162">
        <f>ROUND(F73*(1+$G$136),2)</f>
        <v>4.9400000000000004</v>
      </c>
      <c r="G74" s="162">
        <f t="shared" si="12"/>
        <v>54.25</v>
      </c>
      <c r="H74" s="162">
        <f t="shared" si="13"/>
        <v>162.80000000000001</v>
      </c>
      <c r="I74" s="184">
        <f>VLOOKUP(B74,'Table 9'!$B$10:$C$34,2,FALSE)</f>
        <v>6.76</v>
      </c>
      <c r="J74" s="184">
        <f t="shared" si="14"/>
        <v>47.66</v>
      </c>
      <c r="K74" s="184">
        <f t="shared" si="15"/>
        <v>84.61</v>
      </c>
    </row>
    <row r="75" spans="2:11">
      <c r="B75" s="155">
        <f t="shared" si="9"/>
        <v>2025</v>
      </c>
      <c r="C75" s="159"/>
      <c r="D75" s="162">
        <f>ROUND(D74*(1+$G$137),2)</f>
        <v>110.5</v>
      </c>
      <c r="E75" s="162">
        <f>ROUND(E74*(1+$G$137),2)</f>
        <v>33.06</v>
      </c>
      <c r="F75" s="162">
        <f>ROUND(F74*(1+$G$137),2)</f>
        <v>5.03</v>
      </c>
      <c r="G75" s="162">
        <f t="shared" si="12"/>
        <v>55.22</v>
      </c>
      <c r="H75" s="162">
        <f t="shared" si="13"/>
        <v>165.72</v>
      </c>
      <c r="I75" s="184">
        <f>VLOOKUP(B75,'Table 9'!$B$10:$C$34,2,FALSE)</f>
        <v>6.95</v>
      </c>
      <c r="J75" s="184">
        <f t="shared" si="14"/>
        <v>49</v>
      </c>
      <c r="K75" s="184">
        <f t="shared" si="15"/>
        <v>86.61</v>
      </c>
    </row>
    <row r="76" spans="2:11">
      <c r="B76" s="155">
        <f t="shared" si="9"/>
        <v>2026</v>
      </c>
      <c r="C76" s="159"/>
      <c r="D76" s="162">
        <f>ROUND(D75*(1+$G$138),2)</f>
        <v>112.49</v>
      </c>
      <c r="E76" s="162">
        <f>ROUND(E75*(1+$G$138),2)</f>
        <v>33.659999999999997</v>
      </c>
      <c r="F76" s="162">
        <f>ROUND(F75*(1+$G$138),2)</f>
        <v>5.12</v>
      </c>
      <c r="G76" s="162">
        <f t="shared" si="12"/>
        <v>56.22</v>
      </c>
      <c r="H76" s="162">
        <f t="shared" si="13"/>
        <v>168.71</v>
      </c>
      <c r="I76" s="184">
        <f>VLOOKUP(B76,'Table 9'!$B$10:$C$34,2,FALSE)</f>
        <v>7.35</v>
      </c>
      <c r="J76" s="184">
        <f t="shared" si="14"/>
        <v>51.82</v>
      </c>
      <c r="K76" s="184">
        <f t="shared" si="15"/>
        <v>90.11</v>
      </c>
    </row>
    <row r="77" spans="2:11">
      <c r="B77" s="155">
        <f t="shared" si="9"/>
        <v>2027</v>
      </c>
      <c r="C77" s="159"/>
      <c r="D77" s="162">
        <f>ROUND(D76*(1+$G$139),2)</f>
        <v>114.63</v>
      </c>
      <c r="E77" s="162">
        <f>ROUND(E76*(1+$G$139),2)</f>
        <v>34.299999999999997</v>
      </c>
      <c r="F77" s="162">
        <f>ROUND(F76*(1+$G$139),2)</f>
        <v>5.22</v>
      </c>
      <c r="G77" s="162">
        <f t="shared" si="12"/>
        <v>57.3</v>
      </c>
      <c r="H77" s="162">
        <f t="shared" si="13"/>
        <v>171.93</v>
      </c>
      <c r="I77" s="184">
        <f>VLOOKUP(B77,'Table 9'!$B$10:$C$34,2,FALSE)</f>
        <v>7.61</v>
      </c>
      <c r="J77" s="184">
        <f t="shared" si="14"/>
        <v>53.65</v>
      </c>
      <c r="K77" s="184">
        <f t="shared" si="15"/>
        <v>92.67</v>
      </c>
    </row>
    <row r="78" spans="2:11">
      <c r="B78" s="155">
        <f t="shared" si="9"/>
        <v>2028</v>
      </c>
      <c r="C78" s="159"/>
      <c r="D78" s="162">
        <f>ROUND(D77*(1+$J$131),2)</f>
        <v>116.81</v>
      </c>
      <c r="E78" s="162">
        <f>ROUND(E77*(1+$J$131),2)</f>
        <v>34.950000000000003</v>
      </c>
      <c r="F78" s="162">
        <f>ROUND(F77*(1+$J$131),2)</f>
        <v>5.32</v>
      </c>
      <c r="G78" s="162">
        <f t="shared" si="12"/>
        <v>58.39</v>
      </c>
      <c r="H78" s="162">
        <f t="shared" si="13"/>
        <v>175.2</v>
      </c>
      <c r="I78" s="184">
        <f>VLOOKUP(B78,'Table 9'!$B$10:$C$34,2,FALSE)</f>
        <v>7.77</v>
      </c>
      <c r="J78" s="184">
        <f t="shared" si="14"/>
        <v>54.78</v>
      </c>
      <c r="K78" s="184">
        <f t="shared" si="15"/>
        <v>94.54</v>
      </c>
    </row>
    <row r="79" spans="2:11">
      <c r="B79" s="155">
        <f t="shared" si="9"/>
        <v>2029</v>
      </c>
      <c r="C79" s="159"/>
      <c r="D79" s="162">
        <f>ROUND(D78*(1+$J$132),2)</f>
        <v>119.03</v>
      </c>
      <c r="E79" s="162">
        <f>ROUND(E78*(1+$J$132),2)</f>
        <v>35.61</v>
      </c>
      <c r="F79" s="162">
        <f>ROUND(F78*(1+$J$132),2)</f>
        <v>5.42</v>
      </c>
      <c r="G79" s="162">
        <f t="shared" si="12"/>
        <v>59.49</v>
      </c>
      <c r="H79" s="162">
        <f t="shared" si="13"/>
        <v>178.52</v>
      </c>
      <c r="I79" s="184">
        <f>VLOOKUP(B79,'Table 9'!$B$10:$C$34,2,FALSE)</f>
        <v>7.89</v>
      </c>
      <c r="J79" s="184">
        <f t="shared" si="14"/>
        <v>55.62</v>
      </c>
      <c r="K79" s="184">
        <f t="shared" si="15"/>
        <v>96.13</v>
      </c>
    </row>
    <row r="80" spans="2:11">
      <c r="B80" s="155">
        <f t="shared" si="9"/>
        <v>2030</v>
      </c>
      <c r="C80" s="159"/>
      <c r="D80" s="162">
        <f>ROUND(D79*(1+$J$133),2)</f>
        <v>121.29</v>
      </c>
      <c r="E80" s="162">
        <f>ROUND(E79*(1+$J$133),2)</f>
        <v>36.29</v>
      </c>
      <c r="F80" s="162">
        <f>ROUND(F79*(1+$J$133),2)</f>
        <v>5.52</v>
      </c>
      <c r="G80" s="162">
        <f t="shared" si="12"/>
        <v>60.61</v>
      </c>
      <c r="H80" s="162">
        <f t="shared" si="13"/>
        <v>181.9</v>
      </c>
      <c r="I80" s="184">
        <f>VLOOKUP(B80,'Table 9'!$B$10:$C$34,2,FALSE)</f>
        <v>7.93</v>
      </c>
      <c r="J80" s="184">
        <f t="shared" si="14"/>
        <v>55.91</v>
      </c>
      <c r="K80" s="184">
        <f t="shared" si="15"/>
        <v>97.19</v>
      </c>
    </row>
    <row r="81" spans="2:15">
      <c r="B81" s="155">
        <f t="shared" si="9"/>
        <v>2031</v>
      </c>
      <c r="C81" s="159"/>
      <c r="D81" s="162">
        <f>ROUND(D80*(1+$J$134),2)</f>
        <v>123.72</v>
      </c>
      <c r="E81" s="162">
        <f>ROUND(E80*(1+$J$134),2)</f>
        <v>37.020000000000003</v>
      </c>
      <c r="F81" s="162">
        <f>ROUND(F80*(1+$J$134),2)</f>
        <v>5.63</v>
      </c>
      <c r="G81" s="162">
        <f t="shared" si="12"/>
        <v>61.83</v>
      </c>
      <c r="H81" s="162">
        <f t="shared" si="13"/>
        <v>185.55</v>
      </c>
      <c r="I81" s="184">
        <f>VLOOKUP(B81,'Table 9'!$B$10:$C$34,2,FALSE)</f>
        <v>8.11</v>
      </c>
      <c r="J81" s="184">
        <f t="shared" si="14"/>
        <v>57.18</v>
      </c>
      <c r="K81" s="184">
        <f t="shared" si="15"/>
        <v>99.29</v>
      </c>
    </row>
    <row r="82" spans="2:15">
      <c r="B82" s="155">
        <f t="shared" si="9"/>
        <v>2032</v>
      </c>
      <c r="C82" s="159"/>
      <c r="D82" s="162">
        <f>ROUND(D81*(1+$J$135),2)</f>
        <v>126.07</v>
      </c>
      <c r="E82" s="162">
        <f>ROUND(E81*(1+$J$135),2)</f>
        <v>37.72</v>
      </c>
      <c r="F82" s="162">
        <f>ROUND(F81*(1+$J$135),2)</f>
        <v>5.74</v>
      </c>
      <c r="G82" s="162">
        <f t="shared" si="12"/>
        <v>63.01</v>
      </c>
      <c r="H82" s="162">
        <f t="shared" si="13"/>
        <v>189.08</v>
      </c>
      <c r="I82" s="184">
        <f>VLOOKUP(B82,'Table 9'!$B$10:$C$34,2,FALSE)</f>
        <v>8.27</v>
      </c>
      <c r="J82" s="184">
        <f t="shared" si="14"/>
        <v>58.3</v>
      </c>
      <c r="K82" s="184">
        <f t="shared" si="15"/>
        <v>101.21</v>
      </c>
    </row>
    <row r="83" spans="2:15">
      <c r="B83" s="155">
        <f t="shared" si="9"/>
        <v>2033</v>
      </c>
      <c r="C83" s="159"/>
      <c r="D83" s="162">
        <f>ROUND(D82*(1+$J$136),2)</f>
        <v>128.47</v>
      </c>
      <c r="E83" s="162">
        <f>ROUND(E82*(1+$J$136),2)</f>
        <v>38.44</v>
      </c>
      <c r="F83" s="162">
        <f>ROUND(F82*(1+$J$136),2)</f>
        <v>5.85</v>
      </c>
      <c r="G83" s="162">
        <f t="shared" si="12"/>
        <v>64.22</v>
      </c>
      <c r="H83" s="162">
        <f t="shared" si="13"/>
        <v>192.69</v>
      </c>
      <c r="I83" s="184">
        <f>VLOOKUP(B83,'Table 9'!$B$10:$C$34,2,FALSE)</f>
        <v>8.43</v>
      </c>
      <c r="J83" s="184">
        <f t="shared" si="14"/>
        <v>59.43</v>
      </c>
      <c r="K83" s="184">
        <f t="shared" si="15"/>
        <v>103.16</v>
      </c>
    </row>
    <row r="84" spans="2:15">
      <c r="B84" s="155">
        <f t="shared" si="9"/>
        <v>2034</v>
      </c>
      <c r="C84" s="159"/>
      <c r="D84" s="162">
        <f>ROUND(D83*(1+$J$137),2)</f>
        <v>131.04</v>
      </c>
      <c r="E84" s="162">
        <f>ROUND(E83*(1+$J$137),2)</f>
        <v>39.21</v>
      </c>
      <c r="F84" s="162">
        <f>ROUND(F83*(1+$J$137),2)</f>
        <v>5.97</v>
      </c>
      <c r="G84" s="162">
        <f t="shared" si="12"/>
        <v>65.52</v>
      </c>
      <c r="H84" s="162">
        <f t="shared" si="13"/>
        <v>196.56</v>
      </c>
      <c r="I84" s="184">
        <f>VLOOKUP(B84,'Table 9'!$B$10:$C$34,2,FALSE)</f>
        <v>8.59</v>
      </c>
      <c r="J84" s="184">
        <f t="shared" si="14"/>
        <v>60.56</v>
      </c>
      <c r="K84" s="184">
        <f t="shared" si="15"/>
        <v>105.17</v>
      </c>
    </row>
    <row r="85" spans="2:15">
      <c r="B85" s="155">
        <f t="shared" si="9"/>
        <v>2035</v>
      </c>
      <c r="C85" s="159"/>
      <c r="D85" s="162">
        <f t="shared" ref="D85:F86" si="16">ROUND(D84*(1+$J$138),2)</f>
        <v>133.53</v>
      </c>
      <c r="E85" s="162">
        <f t="shared" si="16"/>
        <v>39.950000000000003</v>
      </c>
      <c r="F85" s="162">
        <f t="shared" si="16"/>
        <v>6.08</v>
      </c>
      <c r="G85" s="162">
        <f t="shared" si="12"/>
        <v>66.739999999999995</v>
      </c>
      <c r="H85" s="162">
        <f t="shared" si="13"/>
        <v>200.27</v>
      </c>
      <c r="I85" s="184">
        <f>VLOOKUP(B85,'Table 9'!$B$10:$C$34,2,FALSE)</f>
        <v>8.76</v>
      </c>
      <c r="J85" s="184">
        <f t="shared" si="14"/>
        <v>61.76</v>
      </c>
      <c r="K85" s="184">
        <f t="shared" si="15"/>
        <v>107.21</v>
      </c>
    </row>
    <row r="86" spans="2:15">
      <c r="B86" s="155">
        <f t="shared" si="9"/>
        <v>2036</v>
      </c>
      <c r="C86" s="159"/>
      <c r="D86" s="162">
        <f t="shared" si="16"/>
        <v>136.07</v>
      </c>
      <c r="E86" s="162">
        <f t="shared" si="16"/>
        <v>40.71</v>
      </c>
      <c r="F86" s="162">
        <f t="shared" si="16"/>
        <v>6.2</v>
      </c>
      <c r="G86" s="162">
        <f>ROUND(F86*(8.76*$G$113)+E86,2)</f>
        <v>68.03</v>
      </c>
      <c r="H86" s="162">
        <f t="shared" ref="H86" si="17">ROUND(D86+G86,2)</f>
        <v>204.1</v>
      </c>
      <c r="I86" s="184">
        <f>VLOOKUP(B86,'Table 9'!$B$10:$C$34,2,FALSE)</f>
        <v>8.92</v>
      </c>
      <c r="J86" s="184">
        <f t="shared" si="14"/>
        <v>62.89</v>
      </c>
      <c r="K86" s="184">
        <f t="shared" si="15"/>
        <v>109.21</v>
      </c>
    </row>
    <row r="87" spans="2:15">
      <c r="M87" s="155"/>
      <c r="O87" s="185"/>
    </row>
    <row r="88" spans="2:15" ht="15.75">
      <c r="B88" s="24" t="str">
        <f>$B$51</f>
        <v>Table 8</v>
      </c>
      <c r="C88" s="145"/>
      <c r="D88" s="145"/>
      <c r="E88" s="145"/>
      <c r="F88" s="145"/>
      <c r="G88" s="145"/>
      <c r="H88" s="145"/>
      <c r="I88" s="145"/>
      <c r="J88" s="145"/>
      <c r="K88" s="24"/>
      <c r="M88" s="155"/>
      <c r="N88" s="185"/>
      <c r="O88" s="185"/>
    </row>
    <row r="89" spans="2:15" ht="15.75">
      <c r="B89" s="24" t="str">
        <f>B2</f>
        <v>Total Cost of Displaceable Resources</v>
      </c>
      <c r="C89" s="37"/>
      <c r="D89" s="145"/>
      <c r="E89" s="145"/>
      <c r="F89" s="145"/>
      <c r="G89" s="145"/>
      <c r="H89" s="145"/>
      <c r="I89" s="145"/>
      <c r="J89" s="145"/>
      <c r="K89" s="145"/>
      <c r="M89" s="155"/>
      <c r="N89" s="185"/>
      <c r="O89" s="185"/>
    </row>
    <row r="90" spans="2:15" ht="15.75">
      <c r="B90" s="24"/>
      <c r="C90" s="145"/>
      <c r="D90" s="145"/>
      <c r="E90" s="145"/>
      <c r="F90" s="145"/>
      <c r="G90" s="145"/>
      <c r="H90" s="145"/>
      <c r="I90" s="145"/>
      <c r="J90" s="145"/>
      <c r="K90" s="150" t="s">
        <v>121</v>
      </c>
      <c r="M90" s="155"/>
      <c r="N90" s="185"/>
      <c r="O90" s="185"/>
    </row>
    <row r="91" spans="2:15" ht="5.25" customHeight="1"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3"/>
      <c r="M91" s="155"/>
      <c r="N91" s="185"/>
      <c r="O91" s="185"/>
    </row>
    <row r="92" spans="2:15" ht="14.25">
      <c r="B92" s="37" t="s">
        <v>122</v>
      </c>
      <c r="C92" s="38"/>
      <c r="D92" s="38"/>
      <c r="E92" s="38"/>
      <c r="F92" s="38"/>
      <c r="G92" s="38"/>
      <c r="H92" s="38"/>
      <c r="I92" s="38"/>
      <c r="J92" s="38"/>
      <c r="K92" s="38"/>
      <c r="M92" s="155"/>
      <c r="N92" s="185"/>
      <c r="O92" s="185"/>
    </row>
    <row r="94" spans="2:15">
      <c r="B94" s="98" t="s">
        <v>67</v>
      </c>
      <c r="C94" s="98"/>
      <c r="D94" s="167" t="s">
        <v>189</v>
      </c>
      <c r="E94" s="98"/>
      <c r="F94" s="98"/>
      <c r="G94" s="98"/>
      <c r="H94" s="98"/>
      <c r="I94" s="98"/>
    </row>
    <row r="95" spans="2:15">
      <c r="C95" s="186" t="str">
        <f>D57</f>
        <v>(b)</v>
      </c>
      <c r="D95" s="162" t="str">
        <f>"= "&amp;C57&amp;" x "&amp;C124&amp;E124</f>
        <v>= (a) x 0.082  Payment Factor</v>
      </c>
    </row>
    <row r="96" spans="2:15">
      <c r="C96" s="186" t="str">
        <f>G57</f>
        <v>(e)</v>
      </c>
      <c r="D96" s="162" t="str">
        <f>"= "&amp;$F$57&amp;" x  (8.76 x "&amp;TEXT(G113,"0.0%")&amp;") + "&amp;$E$57</f>
        <v>= (d) x  (8.76 x 50.3%) + (c)</v>
      </c>
    </row>
    <row r="97" spans="3:11">
      <c r="C97" s="186" t="str">
        <f>H57</f>
        <v>(f)</v>
      </c>
      <c r="D97" s="162" t="str">
        <f>"= "&amp;D57&amp;" + "&amp;G57</f>
        <v>= (b) + (e)</v>
      </c>
    </row>
    <row r="98" spans="3:11">
      <c r="C98" s="186" t="str">
        <f>I57</f>
        <v>(g)</v>
      </c>
      <c r="D98" s="187" t="str">
        <f>'Table 9'!B1&amp;" - "&amp;'Table 9'!B2</f>
        <v>Table 9 - Natural Gas Price - Delivered to Plant</v>
      </c>
    </row>
    <row r="99" spans="3:11">
      <c r="C99" s="186" t="str">
        <f>J57</f>
        <v>(h)</v>
      </c>
      <c r="D99" s="162" t="str">
        <f>"= "&amp;TEXT(K113,"?,0")&amp;" MMBtu/MWH x "&amp;I57</f>
        <v>= 7,050 MMBtu/MWH x (g)</v>
      </c>
    </row>
    <row r="100" spans="3:11">
      <c r="C100" s="186" t="str">
        <f>K57</f>
        <v>(i)</v>
      </c>
      <c r="D100" s="188" t="str">
        <f>"= "&amp;H57&amp;" / (8.76 x 'Capacity Factor' ) + "&amp;J57</f>
        <v>= (f) / (8.76 x 'Capacity Factor' ) + (h)</v>
      </c>
    </row>
    <row r="101" spans="3:11" ht="13.5" thickBot="1"/>
    <row r="102" spans="3:11" ht="13.5" thickBot="1">
      <c r="C102" s="32" t="s">
        <v>155</v>
      </c>
      <c r="D102" s="56"/>
      <c r="E102" s="56"/>
      <c r="F102" s="56"/>
      <c r="G102" s="56"/>
      <c r="H102" s="56"/>
      <c r="I102" s="56"/>
      <c r="J102" s="57"/>
      <c r="K102" s="189"/>
    </row>
    <row r="103" spans="3:11" ht="5.25" customHeight="1"/>
    <row r="104" spans="3:11" ht="5.25" customHeight="1"/>
    <row r="105" spans="3:11">
      <c r="C105" s="39" t="s">
        <v>90</v>
      </c>
      <c r="D105" s="40"/>
      <c r="E105" s="39"/>
      <c r="F105" s="41" t="s">
        <v>84</v>
      </c>
      <c r="G105" s="41" t="s">
        <v>89</v>
      </c>
      <c r="H105" s="41" t="s">
        <v>81</v>
      </c>
      <c r="I105" s="41" t="s">
        <v>82</v>
      </c>
    </row>
    <row r="106" spans="3:11">
      <c r="C106" s="117" t="s">
        <v>157</v>
      </c>
      <c r="F106" s="190">
        <f>C117</f>
        <v>512</v>
      </c>
      <c r="G106" s="103">
        <f>F106/F108</f>
        <v>0.85762144053601341</v>
      </c>
      <c r="H106" s="191">
        <f>C118</f>
        <v>1104.467075257872</v>
      </c>
      <c r="I106" s="172">
        <f>C121</f>
        <v>25.890063458818243</v>
      </c>
    </row>
    <row r="107" spans="3:11">
      <c r="C107" s="117" t="s">
        <v>156</v>
      </c>
      <c r="F107" s="42">
        <f>D117</f>
        <v>85</v>
      </c>
      <c r="G107" s="18">
        <f>1-G106</f>
        <v>0.14237855946398659</v>
      </c>
      <c r="H107" s="43">
        <f>D118</f>
        <v>538.38742035331188</v>
      </c>
      <c r="I107" s="44">
        <f>D121</f>
        <v>20.63911714304</v>
      </c>
    </row>
    <row r="108" spans="3:11">
      <c r="C108" s="117" t="s">
        <v>91</v>
      </c>
      <c r="F108" s="190">
        <f>F106+F107</f>
        <v>597</v>
      </c>
      <c r="G108" s="103">
        <f>G106+G107</f>
        <v>1</v>
      </c>
      <c r="H108" s="191">
        <f>ROUND(((F106*H106)+(F107*H107))/F108,0)</f>
        <v>1024</v>
      </c>
      <c r="I108" s="172">
        <f>ROUND(((F106*I106)+(F107*I107))/F108,2)</f>
        <v>25.14</v>
      </c>
    </row>
    <row r="109" spans="3:11">
      <c r="F109" s="190"/>
      <c r="G109" s="103"/>
      <c r="H109" s="191"/>
      <c r="I109" s="172"/>
    </row>
    <row r="110" spans="3:11">
      <c r="C110" s="39" t="s">
        <v>90</v>
      </c>
      <c r="D110" s="40"/>
      <c r="E110" s="39"/>
      <c r="F110" s="41" t="s">
        <v>84</v>
      </c>
      <c r="G110" s="41" t="s">
        <v>92</v>
      </c>
      <c r="H110" s="41" t="s">
        <v>68</v>
      </c>
      <c r="I110" s="41" t="s">
        <v>89</v>
      </c>
      <c r="J110" s="41" t="s">
        <v>123</v>
      </c>
      <c r="K110" s="41" t="s">
        <v>83</v>
      </c>
    </row>
    <row r="111" spans="3:11">
      <c r="C111" s="192" t="str">
        <f>C106</f>
        <v>CCCT (Dry "F" 2x1)</v>
      </c>
      <c r="D111" s="192"/>
      <c r="E111" s="192"/>
      <c r="F111" s="117">
        <f>C117</f>
        <v>512</v>
      </c>
      <c r="G111" s="103">
        <f>C125</f>
        <v>0.56000000000000005</v>
      </c>
      <c r="H111" s="117">
        <f>G111*F111</f>
        <v>286.72000000000003</v>
      </c>
      <c r="I111" s="103">
        <f>H111/H113</f>
        <v>0.95471497069792211</v>
      </c>
      <c r="J111" s="172">
        <f>C122</f>
        <v>3.9723234711277247</v>
      </c>
      <c r="K111" s="193">
        <f>C123</f>
        <v>6963.2015297579301</v>
      </c>
    </row>
    <row r="112" spans="3:11">
      <c r="C112" s="192" t="str">
        <f>C107</f>
        <v>CCCT Duct Firing (Dry "F" 2x1)</v>
      </c>
      <c r="D112" s="192"/>
      <c r="E112" s="192"/>
      <c r="F112" s="45">
        <f>D117</f>
        <v>85</v>
      </c>
      <c r="G112" s="18">
        <f>D125</f>
        <v>0.16</v>
      </c>
      <c r="H112" s="45">
        <f>G112*F112</f>
        <v>13.6</v>
      </c>
      <c r="I112" s="18">
        <f>1-I111</f>
        <v>4.5285029302077895E-2</v>
      </c>
      <c r="J112" s="46">
        <f>D122</f>
        <v>0.55000000000000004</v>
      </c>
      <c r="K112" s="55">
        <f>D123</f>
        <v>8934.0698045493282</v>
      </c>
    </row>
    <row r="113" spans="3:11">
      <c r="C113" s="117" t="s">
        <v>93</v>
      </c>
      <c r="F113" s="117">
        <f>F111+F112</f>
        <v>597</v>
      </c>
      <c r="G113" s="194">
        <f>ROUND(H113/F113,3)</f>
        <v>0.503</v>
      </c>
      <c r="H113" s="117">
        <f>SUM(H111:H112)</f>
        <v>300.32000000000005</v>
      </c>
      <c r="I113" s="103">
        <f>I111+I112</f>
        <v>1</v>
      </c>
      <c r="J113" s="172">
        <f>ROUND(($I111*J111)+($I112*J112),2)</f>
        <v>3.82</v>
      </c>
      <c r="K113" s="190">
        <f>ROUND(($I111*K111)+($I112*K112),-1)</f>
        <v>7050</v>
      </c>
    </row>
    <row r="114" spans="3:11">
      <c r="G114" s="194"/>
      <c r="I114" s="103"/>
      <c r="J114" s="172"/>
      <c r="K114" s="47" t="s">
        <v>124</v>
      </c>
    </row>
    <row r="116" spans="3:11">
      <c r="C116" s="58" t="s">
        <v>125</v>
      </c>
      <c r="D116" s="58" t="s">
        <v>126</v>
      </c>
      <c r="E116" s="48" t="str">
        <f>D94</f>
        <v>Plant Costs  - 2011 IRP Update - [as modeled by PAR]</v>
      </c>
      <c r="F116" s="195"/>
      <c r="G116" s="195"/>
      <c r="H116" s="195"/>
      <c r="I116" s="195"/>
      <c r="J116" s="195"/>
      <c r="K116" s="196"/>
    </row>
    <row r="117" spans="3:11">
      <c r="C117" s="98">
        <v>512</v>
      </c>
      <c r="D117" s="98">
        <v>85</v>
      </c>
      <c r="E117" s="98" t="s">
        <v>116</v>
      </c>
      <c r="F117" s="98"/>
      <c r="G117" s="98"/>
      <c r="H117" s="170"/>
      <c r="I117" s="98"/>
      <c r="J117" s="98"/>
      <c r="K117" s="98"/>
    </row>
    <row r="118" spans="3:11">
      <c r="C118" s="191">
        <v>1104.467075257872</v>
      </c>
      <c r="D118" s="191">
        <v>538.38742035331188</v>
      </c>
      <c r="E118" s="98" t="s">
        <v>158</v>
      </c>
      <c r="F118" s="98"/>
      <c r="G118" s="98"/>
      <c r="H118" s="98"/>
      <c r="I118" s="98"/>
      <c r="J118" s="98"/>
      <c r="K118" s="98"/>
    </row>
    <row r="119" spans="3:11">
      <c r="C119" s="172">
        <v>10.193995329538243</v>
      </c>
      <c r="D119" s="172">
        <v>0.5</v>
      </c>
      <c r="E119" s="98" t="s">
        <v>198</v>
      </c>
      <c r="F119" s="98"/>
      <c r="G119" s="98"/>
      <c r="H119" s="98"/>
      <c r="I119" s="98"/>
      <c r="J119" s="98"/>
      <c r="K119" s="98"/>
    </row>
    <row r="120" spans="3:11">
      <c r="C120" s="44">
        <v>15.69606812928</v>
      </c>
      <c r="D120" s="44">
        <v>20.13911714304</v>
      </c>
      <c r="E120" s="98" t="s">
        <v>190</v>
      </c>
      <c r="F120" s="98"/>
      <c r="G120" s="98"/>
      <c r="H120" s="98"/>
      <c r="I120" s="98"/>
      <c r="J120" s="98"/>
      <c r="K120" s="98"/>
    </row>
    <row r="121" spans="3:11">
      <c r="C121" s="172">
        <v>25.890063458818243</v>
      </c>
      <c r="D121" s="172">
        <v>20.63911714304</v>
      </c>
      <c r="E121" s="98" t="s">
        <v>197</v>
      </c>
      <c r="F121" s="98"/>
      <c r="G121" s="98"/>
      <c r="H121" s="98"/>
      <c r="I121" s="98"/>
      <c r="J121" s="98"/>
      <c r="K121" s="98"/>
    </row>
    <row r="122" spans="3:11">
      <c r="C122" s="172">
        <v>3.9723234711277247</v>
      </c>
      <c r="D122" s="172">
        <v>0.55000000000000004</v>
      </c>
      <c r="E122" s="98" t="s">
        <v>159</v>
      </c>
      <c r="F122" s="98"/>
      <c r="G122" s="98"/>
      <c r="H122" s="98"/>
      <c r="I122" s="98"/>
      <c r="J122" s="98"/>
      <c r="K122" s="98"/>
    </row>
    <row r="123" spans="3:11">
      <c r="C123" s="101">
        <v>6963.2015297579301</v>
      </c>
      <c r="D123" s="101">
        <v>8934.0698045493282</v>
      </c>
      <c r="E123" s="98" t="s">
        <v>160</v>
      </c>
      <c r="F123" s="98"/>
      <c r="G123" s="98"/>
      <c r="H123" s="98"/>
      <c r="I123" s="98"/>
      <c r="J123" s="98"/>
      <c r="K123" s="98"/>
    </row>
    <row r="124" spans="3:11">
      <c r="C124" s="197">
        <v>8.2000000000000003E-2</v>
      </c>
      <c r="D124" s="197">
        <f>C124</f>
        <v>8.2000000000000003E-2</v>
      </c>
      <c r="E124" s="98" t="s">
        <v>118</v>
      </c>
      <c r="F124" s="98"/>
      <c r="G124" s="98"/>
      <c r="H124" s="98"/>
      <c r="I124" s="98"/>
      <c r="J124" s="98"/>
      <c r="K124" s="98"/>
    </row>
    <row r="125" spans="3:11">
      <c r="C125" s="198">
        <v>0.56000000000000005</v>
      </c>
      <c r="D125" s="198">
        <v>0.16</v>
      </c>
      <c r="E125" s="98" t="s">
        <v>119</v>
      </c>
      <c r="F125" s="98"/>
      <c r="G125" s="98"/>
      <c r="H125" s="98"/>
      <c r="I125" s="98"/>
      <c r="J125" s="98"/>
      <c r="K125" s="98"/>
    </row>
    <row r="126" spans="3:11">
      <c r="C126" s="98"/>
      <c r="D126" s="103">
        <f>ROUND(H113/F113,3)</f>
        <v>0.503</v>
      </c>
      <c r="E126" s="98" t="s">
        <v>161</v>
      </c>
      <c r="F126" s="98"/>
      <c r="G126" s="98"/>
      <c r="H126" s="98"/>
      <c r="I126" s="98"/>
      <c r="J126" s="98"/>
      <c r="K126" s="98"/>
    </row>
    <row r="127" spans="3:11">
      <c r="C127" s="98"/>
      <c r="D127" s="199">
        <f>MIN(1,ROUND(D126/0.57,3))</f>
        <v>0.88200000000000001</v>
      </c>
      <c r="E127" s="200" t="str">
        <f>"  Capacity Factor - On-peak     "&amp;TEXT(D126,"0.0%")&amp;" / 57% (percent of hours on-peak) "</f>
        <v xml:space="preserve">  Capacity Factor - On-peak     50.3% / 57% (percent of hours on-peak) </v>
      </c>
      <c r="F127" s="98"/>
      <c r="G127" s="98"/>
      <c r="H127" s="98"/>
      <c r="I127" s="98"/>
      <c r="J127" s="98"/>
      <c r="K127" s="98"/>
    </row>
    <row r="128" spans="3:11">
      <c r="C128" s="174"/>
      <c r="D128" s="174"/>
    </row>
    <row r="129" spans="3:15" ht="13.5" thickBot="1"/>
    <row r="130" spans="3:15" ht="13.5" thickBot="1">
      <c r="C130" s="59" t="s">
        <v>211</v>
      </c>
      <c r="D130" s="56"/>
      <c r="E130" s="56"/>
      <c r="F130" s="56"/>
      <c r="G130" s="56"/>
      <c r="H130" s="56"/>
      <c r="I130" s="56"/>
      <c r="J130" s="57"/>
      <c r="K130" s="189"/>
      <c r="N130" s="117" t="s">
        <v>153</v>
      </c>
    </row>
    <row r="131" spans="3:15">
      <c r="C131" s="201">
        <v>2010</v>
      </c>
      <c r="D131" s="103">
        <v>1.2999999999999999E-2</v>
      </c>
      <c r="E131" s="98"/>
      <c r="F131" s="201">
        <f>C139+1</f>
        <v>2019</v>
      </c>
      <c r="G131" s="103">
        <v>1.7999999999999999E-2</v>
      </c>
      <c r="H131" s="98"/>
      <c r="I131" s="201">
        <f>F139+1</f>
        <v>2028</v>
      </c>
      <c r="J131" s="103">
        <v>1.9E-2</v>
      </c>
      <c r="K131" s="98"/>
      <c r="N131" s="201">
        <v>2009</v>
      </c>
      <c r="O131" s="103">
        <v>4.0000000000000001E-3</v>
      </c>
    </row>
    <row r="132" spans="3:15">
      <c r="C132" s="201">
        <f>C131+1</f>
        <v>2011</v>
      </c>
      <c r="D132" s="103">
        <v>2.3E-2</v>
      </c>
      <c r="E132" s="98"/>
      <c r="F132" s="201">
        <f t="shared" ref="F132:F139" si="18">F131+1</f>
        <v>2020</v>
      </c>
      <c r="G132" s="103">
        <v>1.7000000000000001E-2</v>
      </c>
      <c r="H132" s="98"/>
      <c r="I132" s="201">
        <f t="shared" ref="I132:I139" si="19">I131+1</f>
        <v>2029</v>
      </c>
      <c r="J132" s="103">
        <v>1.9E-2</v>
      </c>
      <c r="K132" s="98"/>
      <c r="N132" s="201">
        <f t="shared" ref="N132:N147" si="20">N131+1</f>
        <v>2010</v>
      </c>
      <c r="O132" s="103">
        <v>1.2999999999999999E-2</v>
      </c>
    </row>
    <row r="133" spans="3:15">
      <c r="C133" s="201">
        <f t="shared" ref="C133:C139" si="21">C132+1</f>
        <v>2012</v>
      </c>
      <c r="D133" s="103">
        <v>1.4999999999999999E-2</v>
      </c>
      <c r="E133" s="98"/>
      <c r="F133" s="201">
        <f t="shared" si="18"/>
        <v>2021</v>
      </c>
      <c r="G133" s="103">
        <v>1.7999999999999999E-2</v>
      </c>
      <c r="H133" s="98"/>
      <c r="I133" s="201">
        <f t="shared" si="19"/>
        <v>2030</v>
      </c>
      <c r="J133" s="103">
        <v>1.9E-2</v>
      </c>
      <c r="K133" s="98"/>
      <c r="N133" s="201">
        <f t="shared" si="20"/>
        <v>2011</v>
      </c>
      <c r="O133" s="103">
        <v>1.7000000000000001E-2</v>
      </c>
    </row>
    <row r="134" spans="3:15">
      <c r="C134" s="201">
        <f t="shared" si="21"/>
        <v>2013</v>
      </c>
      <c r="D134" s="103">
        <v>1.7999999999999999E-2</v>
      </c>
      <c r="E134" s="98"/>
      <c r="F134" s="201">
        <f t="shared" si="18"/>
        <v>2022</v>
      </c>
      <c r="G134" s="103">
        <v>1.7999999999999999E-2</v>
      </c>
      <c r="H134" s="98"/>
      <c r="I134" s="201">
        <f t="shared" si="19"/>
        <v>2031</v>
      </c>
      <c r="J134" s="103">
        <v>0.02</v>
      </c>
      <c r="K134" s="98"/>
      <c r="N134" s="201">
        <f t="shared" si="20"/>
        <v>2012</v>
      </c>
      <c r="O134" s="103">
        <v>0.02</v>
      </c>
    </row>
    <row r="135" spans="3:15">
      <c r="C135" s="201">
        <f t="shared" si="21"/>
        <v>2014</v>
      </c>
      <c r="D135" s="103">
        <v>1.9E-2</v>
      </c>
      <c r="E135" s="98"/>
      <c r="F135" s="201">
        <f t="shared" si="18"/>
        <v>2023</v>
      </c>
      <c r="G135" s="103">
        <v>1.7999999999999999E-2</v>
      </c>
      <c r="H135" s="98"/>
      <c r="I135" s="201">
        <f t="shared" si="19"/>
        <v>2032</v>
      </c>
      <c r="J135" s="103">
        <v>1.9E-2</v>
      </c>
      <c r="K135" s="98"/>
      <c r="N135" s="201">
        <f t="shared" si="20"/>
        <v>2013</v>
      </c>
      <c r="O135" s="103">
        <v>0.02</v>
      </c>
    </row>
    <row r="136" spans="3:15">
      <c r="C136" s="201">
        <f t="shared" si="21"/>
        <v>2015</v>
      </c>
      <c r="D136" s="103">
        <v>0.02</v>
      </c>
      <c r="E136" s="98"/>
      <c r="F136" s="201">
        <f t="shared" si="18"/>
        <v>2024</v>
      </c>
      <c r="G136" s="103">
        <v>1.7999999999999999E-2</v>
      </c>
      <c r="H136" s="98"/>
      <c r="I136" s="201">
        <f t="shared" si="19"/>
        <v>2033</v>
      </c>
      <c r="J136" s="103">
        <v>1.9E-2</v>
      </c>
      <c r="K136" s="98"/>
      <c r="N136" s="201">
        <f t="shared" si="20"/>
        <v>2014</v>
      </c>
      <c r="O136" s="103">
        <v>1.9E-2</v>
      </c>
    </row>
    <row r="137" spans="3:15" s="153" customFormat="1">
      <c r="C137" s="201">
        <f t="shared" si="21"/>
        <v>2016</v>
      </c>
      <c r="D137" s="103">
        <v>1.9E-2</v>
      </c>
      <c r="E137" s="202"/>
      <c r="F137" s="201">
        <f t="shared" si="18"/>
        <v>2025</v>
      </c>
      <c r="G137" s="103">
        <v>1.7999999999999999E-2</v>
      </c>
      <c r="H137" s="202"/>
      <c r="I137" s="201">
        <f t="shared" si="19"/>
        <v>2034</v>
      </c>
      <c r="J137" s="103">
        <v>0.02</v>
      </c>
      <c r="K137" s="202"/>
      <c r="N137" s="201">
        <f t="shared" si="20"/>
        <v>2015</v>
      </c>
      <c r="O137" s="103">
        <v>1.9E-2</v>
      </c>
    </row>
    <row r="138" spans="3:15" s="153" customFormat="1">
      <c r="C138" s="201">
        <f t="shared" si="21"/>
        <v>2017</v>
      </c>
      <c r="D138" s="103">
        <v>1.9E-2</v>
      </c>
      <c r="E138" s="202"/>
      <c r="F138" s="201">
        <f t="shared" si="18"/>
        <v>2026</v>
      </c>
      <c r="G138" s="103">
        <v>1.7999999999999999E-2</v>
      </c>
      <c r="H138" s="202"/>
      <c r="I138" s="201">
        <f t="shared" si="19"/>
        <v>2035</v>
      </c>
      <c r="J138" s="103">
        <v>1.9E-2</v>
      </c>
      <c r="K138" s="202"/>
      <c r="N138" s="201">
        <f t="shared" si="20"/>
        <v>2016</v>
      </c>
      <c r="O138" s="103">
        <v>1.9E-2</v>
      </c>
    </row>
    <row r="139" spans="3:15" s="153" customFormat="1">
      <c r="C139" s="201">
        <f t="shared" si="21"/>
        <v>2018</v>
      </c>
      <c r="D139" s="103">
        <v>1.9E-2</v>
      </c>
      <c r="E139" s="202"/>
      <c r="F139" s="201">
        <f t="shared" si="18"/>
        <v>2027</v>
      </c>
      <c r="G139" s="103">
        <v>1.9E-2</v>
      </c>
      <c r="H139" s="202"/>
      <c r="I139" s="201">
        <f t="shared" si="19"/>
        <v>2036</v>
      </c>
      <c r="J139" s="103">
        <v>1.9E-2</v>
      </c>
      <c r="K139" s="202"/>
      <c r="N139" s="201">
        <f t="shared" si="20"/>
        <v>2017</v>
      </c>
      <c r="O139" s="103">
        <v>1.9E-2</v>
      </c>
    </row>
    <row r="140" spans="3:15" s="153" customFormat="1">
      <c r="C140" s="203"/>
      <c r="D140" s="204"/>
      <c r="N140" s="201">
        <f t="shared" si="20"/>
        <v>2018</v>
      </c>
      <c r="O140" s="103">
        <v>1.9E-2</v>
      </c>
    </row>
    <row r="141" spans="3:15" s="153" customFormat="1">
      <c r="C141" s="203"/>
      <c r="D141" s="204"/>
      <c r="N141" s="201">
        <f t="shared" si="20"/>
        <v>2019</v>
      </c>
      <c r="O141" s="103">
        <v>1.7999999999999999E-2</v>
      </c>
    </row>
    <row r="142" spans="3:15">
      <c r="C142" s="203"/>
      <c r="D142" s="204"/>
      <c r="N142" s="201">
        <f t="shared" si="20"/>
        <v>2020</v>
      </c>
      <c r="O142" s="103">
        <v>1.7000000000000001E-2</v>
      </c>
    </row>
    <row r="143" spans="3:15">
      <c r="C143" s="203"/>
      <c r="D143" s="204"/>
      <c r="N143" s="201">
        <f t="shared" si="20"/>
        <v>2021</v>
      </c>
      <c r="O143" s="103">
        <v>1.6E-2</v>
      </c>
    </row>
    <row r="144" spans="3:15">
      <c r="C144" s="203"/>
      <c r="D144" s="204"/>
      <c r="N144" s="201">
        <f t="shared" si="20"/>
        <v>2022</v>
      </c>
      <c r="O144" s="103">
        <v>1.6E-2</v>
      </c>
    </row>
    <row r="145" spans="3:15">
      <c r="C145" s="203"/>
      <c r="D145" s="204"/>
      <c r="N145" s="201">
        <f t="shared" si="20"/>
        <v>2023</v>
      </c>
      <c r="O145" s="103">
        <v>1.6E-2</v>
      </c>
    </row>
    <row r="146" spans="3:15">
      <c r="C146" s="203"/>
      <c r="D146" s="204"/>
      <c r="N146" s="201">
        <f t="shared" si="20"/>
        <v>2024</v>
      </c>
      <c r="O146" s="103">
        <v>1.7000000000000001E-2</v>
      </c>
    </row>
    <row r="147" spans="3:15">
      <c r="C147" s="203"/>
      <c r="D147" s="204"/>
      <c r="N147" s="201">
        <f t="shared" si="20"/>
        <v>2025</v>
      </c>
      <c r="O147" s="103">
        <v>1.7000000000000001E-2</v>
      </c>
    </row>
  </sheetData>
  <phoneticPr fontId="6" type="noConversion"/>
  <printOptions horizontalCentered="1"/>
  <pageMargins left="0.25" right="0.25" top="0.75" bottom="0.75" header="0.3" footer="0.3"/>
  <pageSetup fitToHeight="2" orientation="portrait" r:id="rId1"/>
  <headerFooter alignWithMargins="0">
    <oddFooter>&amp;L&amp;8NPC Group - &amp;F   ( &amp;A )&amp;C &amp;R &amp;8&amp;D  &amp;T</oddFooter>
  </headerFooter>
  <rowBreaks count="2" manualBreakCount="2">
    <brk id="50" min="1" max="10" man="1"/>
    <brk id="87" min="1" max="10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B1:C41"/>
  <sheetViews>
    <sheetView showGridLines="0" zoomScaleNormal="100" workbookViewId="0">
      <selection activeCell="K19" sqref="K19"/>
    </sheetView>
  </sheetViews>
  <sheetFormatPr defaultRowHeight="12.75"/>
  <cols>
    <col min="1" max="1" width="2" style="117" customWidth="1"/>
    <col min="2" max="3" width="31.5" style="117" customWidth="1"/>
    <col min="4" max="4" width="2.1640625" style="117" customWidth="1"/>
    <col min="5" max="16384" width="9.33203125" style="117"/>
  </cols>
  <sheetData>
    <row r="1" spans="2:3" ht="15.75">
      <c r="B1" s="24" t="s">
        <v>127</v>
      </c>
      <c r="C1" s="37"/>
    </row>
    <row r="2" spans="2:3" ht="15.75">
      <c r="B2" s="24" t="s">
        <v>141</v>
      </c>
      <c r="C2" s="37"/>
    </row>
    <row r="3" spans="2:3" ht="15.75">
      <c r="B3" s="24" t="s">
        <v>44</v>
      </c>
      <c r="C3" s="145"/>
    </row>
    <row r="4" spans="2:3" ht="15.75">
      <c r="B4" s="24"/>
      <c r="C4" s="145"/>
    </row>
    <row r="5" spans="2:3">
      <c r="B5" s="25"/>
      <c r="C5" s="25" t="s">
        <v>128</v>
      </c>
    </row>
    <row r="6" spans="2:3">
      <c r="B6" s="49" t="s">
        <v>3</v>
      </c>
      <c r="C6" s="49" t="s">
        <v>140</v>
      </c>
    </row>
    <row r="7" spans="2:3">
      <c r="B7" s="146"/>
      <c r="C7" s="50" t="s">
        <v>35</v>
      </c>
    </row>
    <row r="8" spans="2:3">
      <c r="C8" s="151" t="s">
        <v>23</v>
      </c>
    </row>
    <row r="9" spans="2:3">
      <c r="C9" s="147"/>
    </row>
    <row r="10" spans="2:3">
      <c r="B10" s="148">
        <f>+'Tables 3 to 6'!$B$12</f>
        <v>2012</v>
      </c>
      <c r="C10" s="149">
        <v>2.5</v>
      </c>
    </row>
    <row r="11" spans="2:3">
      <c r="B11" s="148">
        <f>B10+1</f>
        <v>2013</v>
      </c>
      <c r="C11" s="149">
        <v>3.57</v>
      </c>
    </row>
    <row r="12" spans="2:3">
      <c r="B12" s="148">
        <f t="shared" ref="B12:B34" si="0">B11+1</f>
        <v>2014</v>
      </c>
      <c r="C12" s="149">
        <v>3.93</v>
      </c>
    </row>
    <row r="13" spans="2:3">
      <c r="B13" s="148">
        <f t="shared" si="0"/>
        <v>2015</v>
      </c>
      <c r="C13" s="149">
        <v>4.09</v>
      </c>
    </row>
    <row r="14" spans="2:3">
      <c r="B14" s="148">
        <f t="shared" si="0"/>
        <v>2016</v>
      </c>
      <c r="C14" s="149">
        <v>4.2300000000000004</v>
      </c>
    </row>
    <row r="15" spans="2:3">
      <c r="B15" s="148">
        <f t="shared" si="0"/>
        <v>2017</v>
      </c>
      <c r="C15" s="149">
        <v>4.4000000000000004</v>
      </c>
    </row>
    <row r="16" spans="2:3">
      <c r="B16" s="148">
        <f t="shared" si="0"/>
        <v>2018</v>
      </c>
      <c r="C16" s="149">
        <v>4.8899999999999997</v>
      </c>
    </row>
    <row r="17" spans="2:3">
      <c r="B17" s="148">
        <f t="shared" si="0"/>
        <v>2019</v>
      </c>
      <c r="C17" s="149">
        <v>5.57</v>
      </c>
    </row>
    <row r="18" spans="2:3">
      <c r="B18" s="148">
        <f t="shared" si="0"/>
        <v>2020</v>
      </c>
      <c r="C18" s="149">
        <v>5.74</v>
      </c>
    </row>
    <row r="19" spans="2:3">
      <c r="B19" s="148">
        <f t="shared" si="0"/>
        <v>2021</v>
      </c>
      <c r="C19" s="149">
        <v>6.07</v>
      </c>
    </row>
    <row r="20" spans="2:3">
      <c r="B20" s="148">
        <f t="shared" si="0"/>
        <v>2022</v>
      </c>
      <c r="C20" s="149">
        <v>6.67</v>
      </c>
    </row>
    <row r="21" spans="2:3">
      <c r="B21" s="148">
        <f t="shared" si="0"/>
        <v>2023</v>
      </c>
      <c r="C21" s="149">
        <v>6.88</v>
      </c>
    </row>
    <row r="22" spans="2:3">
      <c r="B22" s="148">
        <f t="shared" si="0"/>
        <v>2024</v>
      </c>
      <c r="C22" s="149">
        <v>6.76</v>
      </c>
    </row>
    <row r="23" spans="2:3">
      <c r="B23" s="148">
        <f t="shared" si="0"/>
        <v>2025</v>
      </c>
      <c r="C23" s="149">
        <v>6.95</v>
      </c>
    </row>
    <row r="24" spans="2:3">
      <c r="B24" s="148">
        <f t="shared" si="0"/>
        <v>2026</v>
      </c>
      <c r="C24" s="149">
        <v>7.35</v>
      </c>
    </row>
    <row r="25" spans="2:3">
      <c r="B25" s="148">
        <f t="shared" si="0"/>
        <v>2027</v>
      </c>
      <c r="C25" s="149">
        <v>7.61</v>
      </c>
    </row>
    <row r="26" spans="2:3">
      <c r="B26" s="148">
        <f t="shared" si="0"/>
        <v>2028</v>
      </c>
      <c r="C26" s="149">
        <v>7.77</v>
      </c>
    </row>
    <row r="27" spans="2:3">
      <c r="B27" s="148">
        <f t="shared" si="0"/>
        <v>2029</v>
      </c>
      <c r="C27" s="149">
        <v>7.89</v>
      </c>
    </row>
    <row r="28" spans="2:3">
      <c r="B28" s="148">
        <f t="shared" si="0"/>
        <v>2030</v>
      </c>
      <c r="C28" s="149">
        <v>7.93</v>
      </c>
    </row>
    <row r="29" spans="2:3">
      <c r="B29" s="148">
        <f t="shared" si="0"/>
        <v>2031</v>
      </c>
      <c r="C29" s="149">
        <v>8.11</v>
      </c>
    </row>
    <row r="30" spans="2:3">
      <c r="B30" s="148">
        <f t="shared" si="0"/>
        <v>2032</v>
      </c>
      <c r="C30" s="149">
        <v>8.27</v>
      </c>
    </row>
    <row r="31" spans="2:3">
      <c r="B31" s="148">
        <f t="shared" si="0"/>
        <v>2033</v>
      </c>
      <c r="C31" s="149">
        <v>8.43</v>
      </c>
    </row>
    <row r="32" spans="2:3">
      <c r="B32" s="148">
        <f t="shared" si="0"/>
        <v>2034</v>
      </c>
      <c r="C32" s="149">
        <v>8.59</v>
      </c>
    </row>
    <row r="33" spans="2:3">
      <c r="B33" s="148">
        <f t="shared" si="0"/>
        <v>2035</v>
      </c>
      <c r="C33" s="149">
        <v>8.76</v>
      </c>
    </row>
    <row r="34" spans="2:3">
      <c r="B34" s="148">
        <f t="shared" si="0"/>
        <v>2036</v>
      </c>
      <c r="C34" s="149">
        <v>8.92</v>
      </c>
    </row>
    <row r="35" spans="2:3">
      <c r="B35" s="148"/>
      <c r="C35" s="149"/>
    </row>
    <row r="36" spans="2:3">
      <c r="B36" s="51" t="s">
        <v>129</v>
      </c>
    </row>
    <row r="37" spans="2:3">
      <c r="B37" s="117" t="s">
        <v>215</v>
      </c>
    </row>
    <row r="40" spans="2:3">
      <c r="B40" s="150"/>
    </row>
    <row r="41" spans="2:3">
      <c r="B41" s="150"/>
    </row>
  </sheetData>
  <phoneticPr fontId="6" type="noConversion"/>
  <printOptions horizontalCentered="1"/>
  <pageMargins left="0.25" right="0.25" top="0.75" bottom="0.75" header="0.3" footer="0.3"/>
  <pageSetup orientation="portrait" r:id="rId1"/>
  <headerFooter alignWithMargins="0">
    <oddFooter>&amp;L&amp;8NPC Group - &amp;F   ( &amp;A )&amp;C &amp;R 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B1:F55"/>
  <sheetViews>
    <sheetView showGridLines="0" zoomScaleNormal="100" workbookViewId="0">
      <selection activeCell="K19" sqref="K19"/>
    </sheetView>
  </sheetViews>
  <sheetFormatPr defaultColWidth="8.83203125" defaultRowHeight="12.75"/>
  <cols>
    <col min="1" max="1" width="2.1640625" style="117" customWidth="1"/>
    <col min="2" max="2" width="22" style="117" customWidth="1"/>
    <col min="3" max="6" width="16.33203125" style="117" customWidth="1"/>
    <col min="7" max="7" width="2.1640625" style="117" customWidth="1"/>
    <col min="8" max="8" width="10" style="117" customWidth="1"/>
    <col min="9" max="16384" width="8.83203125" style="117"/>
  </cols>
  <sheetData>
    <row r="1" spans="2:6" ht="15.75">
      <c r="B1" s="24" t="s">
        <v>146</v>
      </c>
      <c r="C1" s="37"/>
      <c r="D1" s="37"/>
      <c r="E1" s="37"/>
      <c r="F1" s="37"/>
    </row>
    <row r="2" spans="2:6" ht="15.75">
      <c r="B2" s="24" t="s">
        <v>152</v>
      </c>
      <c r="C2" s="37"/>
      <c r="D2" s="37"/>
      <c r="E2" s="37"/>
      <c r="F2" s="37"/>
    </row>
    <row r="3" spans="2:6" ht="15.75">
      <c r="B3" s="24" t="s">
        <v>43</v>
      </c>
      <c r="C3" s="145"/>
      <c r="D3" s="145"/>
      <c r="E3" s="145"/>
      <c r="F3" s="145"/>
    </row>
    <row r="4" spans="2:6" ht="15.75">
      <c r="B4" s="24"/>
      <c r="C4" s="145"/>
      <c r="D4" s="145"/>
      <c r="E4" s="145"/>
      <c r="F4" s="145"/>
    </row>
    <row r="5" spans="2:6">
      <c r="B5" s="25"/>
      <c r="C5" s="39" t="s">
        <v>147</v>
      </c>
      <c r="D5" s="39"/>
      <c r="E5" s="39"/>
      <c r="F5" s="39"/>
    </row>
    <row r="6" spans="2:6">
      <c r="B6" s="49" t="s">
        <v>3</v>
      </c>
      <c r="C6" s="39" t="s">
        <v>148</v>
      </c>
      <c r="D6" s="39"/>
      <c r="E6" s="39" t="s">
        <v>149</v>
      </c>
      <c r="F6" s="39"/>
    </row>
    <row r="7" spans="2:6">
      <c r="B7" s="146"/>
      <c r="C7" s="39" t="s">
        <v>150</v>
      </c>
      <c r="D7" s="39" t="s">
        <v>151</v>
      </c>
      <c r="E7" s="39" t="s">
        <v>150</v>
      </c>
      <c r="F7" s="39" t="s">
        <v>151</v>
      </c>
    </row>
    <row r="8" spans="2:6">
      <c r="C8" s="30" t="s">
        <v>23</v>
      </c>
      <c r="D8" s="30" t="s">
        <v>24</v>
      </c>
      <c r="E8" s="30" t="s">
        <v>25</v>
      </c>
      <c r="F8" s="30" t="s">
        <v>26</v>
      </c>
    </row>
    <row r="9" spans="2:6">
      <c r="C9" s="147"/>
      <c r="D9" s="147"/>
      <c r="E9" s="147"/>
      <c r="F9" s="147"/>
    </row>
    <row r="10" spans="2:6">
      <c r="B10" s="148">
        <f>+'Tables 3 to 6'!$B$12</f>
        <v>2012</v>
      </c>
      <c r="C10" s="149">
        <v>23.73</v>
      </c>
      <c r="D10" s="149">
        <v>28.19</v>
      </c>
      <c r="E10" s="149">
        <v>19.77</v>
      </c>
      <c r="F10" s="149">
        <v>18.62</v>
      </c>
    </row>
    <row r="11" spans="2:6">
      <c r="B11" s="148">
        <f>B10+1</f>
        <v>2013</v>
      </c>
      <c r="C11" s="149">
        <v>32.450000000000003</v>
      </c>
      <c r="D11" s="149">
        <v>36.630000000000003</v>
      </c>
      <c r="E11" s="149">
        <v>25.06</v>
      </c>
      <c r="F11" s="149">
        <v>26.88</v>
      </c>
    </row>
    <row r="12" spans="2:6">
      <c r="B12" s="148">
        <f t="shared" ref="B12:B34" si="0">B11+1</f>
        <v>2014</v>
      </c>
      <c r="C12" s="149">
        <v>37.520000000000003</v>
      </c>
      <c r="D12" s="149">
        <v>41.75</v>
      </c>
      <c r="E12" s="149">
        <v>28.75</v>
      </c>
      <c r="F12" s="149">
        <v>29.94</v>
      </c>
    </row>
    <row r="13" spans="2:6">
      <c r="B13" s="148">
        <f t="shared" si="0"/>
        <v>2015</v>
      </c>
      <c r="C13" s="149">
        <v>40.42</v>
      </c>
      <c r="D13" s="149">
        <v>44.65</v>
      </c>
      <c r="E13" s="149">
        <v>29.65</v>
      </c>
      <c r="F13" s="149">
        <v>31.94</v>
      </c>
    </row>
    <row r="14" spans="2:6">
      <c r="B14" s="148">
        <f t="shared" si="0"/>
        <v>2016</v>
      </c>
      <c r="C14" s="149">
        <v>43.17</v>
      </c>
      <c r="D14" s="149">
        <v>47.55</v>
      </c>
      <c r="E14" s="149">
        <v>32</v>
      </c>
      <c r="F14" s="149">
        <v>33.94</v>
      </c>
    </row>
    <row r="15" spans="2:6">
      <c r="B15" s="148">
        <f t="shared" si="0"/>
        <v>2017</v>
      </c>
      <c r="C15" s="149">
        <v>45.92</v>
      </c>
      <c r="D15" s="149">
        <v>50.05</v>
      </c>
      <c r="E15" s="149">
        <v>33.85</v>
      </c>
      <c r="F15" s="149">
        <v>35.94</v>
      </c>
    </row>
    <row r="16" spans="2:6">
      <c r="B16" s="148">
        <f t="shared" si="0"/>
        <v>2018</v>
      </c>
      <c r="C16" s="149">
        <v>51.38</v>
      </c>
      <c r="D16" s="149">
        <v>53.99</v>
      </c>
      <c r="E16" s="149">
        <v>38.21</v>
      </c>
      <c r="F16" s="149">
        <v>40.18</v>
      </c>
    </row>
    <row r="17" spans="2:6">
      <c r="B17" s="148">
        <f t="shared" si="0"/>
        <v>2019</v>
      </c>
      <c r="C17" s="149">
        <v>57.12</v>
      </c>
      <c r="D17" s="149">
        <v>57.2</v>
      </c>
      <c r="E17" s="149">
        <v>44.11</v>
      </c>
      <c r="F17" s="149">
        <v>45.78</v>
      </c>
    </row>
    <row r="18" spans="2:6">
      <c r="B18" s="148">
        <f t="shared" si="0"/>
        <v>2020</v>
      </c>
      <c r="C18" s="149">
        <v>56.92</v>
      </c>
      <c r="D18" s="149">
        <v>56.76</v>
      </c>
      <c r="E18" s="149">
        <v>46.21</v>
      </c>
      <c r="F18" s="149">
        <v>46.52</v>
      </c>
    </row>
    <row r="19" spans="2:6">
      <c r="B19" s="148">
        <f t="shared" si="0"/>
        <v>2021</v>
      </c>
      <c r="C19" s="149">
        <v>61.92</v>
      </c>
      <c r="D19" s="149">
        <v>61.12</v>
      </c>
      <c r="E19" s="149">
        <v>49.34</v>
      </c>
      <c r="F19" s="149">
        <v>50.39</v>
      </c>
    </row>
    <row r="20" spans="2:6">
      <c r="B20" s="148">
        <f t="shared" si="0"/>
        <v>2022</v>
      </c>
      <c r="C20" s="149">
        <v>69.900000000000006</v>
      </c>
      <c r="D20" s="149">
        <v>71.349999999999994</v>
      </c>
      <c r="E20" s="149">
        <v>60.65</v>
      </c>
      <c r="F20" s="149">
        <v>59.64</v>
      </c>
    </row>
    <row r="21" spans="2:6">
      <c r="B21" s="148">
        <f t="shared" si="0"/>
        <v>2023</v>
      </c>
      <c r="C21" s="149">
        <v>72.27</v>
      </c>
      <c r="D21" s="149">
        <v>73.680000000000007</v>
      </c>
      <c r="E21" s="149">
        <v>63.13</v>
      </c>
      <c r="F21" s="149">
        <v>61.63</v>
      </c>
    </row>
    <row r="22" spans="2:6">
      <c r="B22" s="148">
        <f t="shared" si="0"/>
        <v>2024</v>
      </c>
      <c r="C22" s="149">
        <v>71.099999999999994</v>
      </c>
      <c r="D22" s="149">
        <v>73.17</v>
      </c>
      <c r="E22" s="149">
        <v>62.94</v>
      </c>
      <c r="F22" s="149">
        <v>61.06</v>
      </c>
    </row>
    <row r="23" spans="2:6">
      <c r="B23" s="148">
        <f t="shared" si="0"/>
        <v>2025</v>
      </c>
      <c r="C23" s="149">
        <v>73.430000000000007</v>
      </c>
      <c r="D23" s="149">
        <v>75.599999999999994</v>
      </c>
      <c r="E23" s="149">
        <v>65.11</v>
      </c>
      <c r="F23" s="149">
        <v>63.09</v>
      </c>
    </row>
    <row r="24" spans="2:6">
      <c r="B24" s="148">
        <f t="shared" si="0"/>
        <v>2026</v>
      </c>
      <c r="C24" s="149">
        <v>77.22</v>
      </c>
      <c r="D24" s="149">
        <v>78.84</v>
      </c>
      <c r="E24" s="149">
        <v>67.84</v>
      </c>
      <c r="F24" s="149">
        <v>65.98</v>
      </c>
    </row>
    <row r="25" spans="2:6">
      <c r="B25" s="148">
        <f t="shared" si="0"/>
        <v>2027</v>
      </c>
      <c r="C25" s="149">
        <v>79.819999999999993</v>
      </c>
      <c r="D25" s="149">
        <v>81.8</v>
      </c>
      <c r="E25" s="149">
        <v>70.67</v>
      </c>
      <c r="F25" s="149">
        <v>68.31</v>
      </c>
    </row>
    <row r="26" spans="2:6">
      <c r="B26" s="148">
        <f t="shared" si="0"/>
        <v>2028</v>
      </c>
      <c r="C26" s="149">
        <v>81.67</v>
      </c>
      <c r="D26" s="149">
        <v>84.2</v>
      </c>
      <c r="E26" s="149">
        <v>73.02</v>
      </c>
      <c r="F26" s="149">
        <v>70.569999999999993</v>
      </c>
    </row>
    <row r="27" spans="2:6">
      <c r="B27" s="148">
        <f t="shared" si="0"/>
        <v>2029</v>
      </c>
      <c r="C27" s="149">
        <v>83.61</v>
      </c>
      <c r="D27" s="149">
        <v>85.86</v>
      </c>
      <c r="E27" s="149">
        <v>74.88</v>
      </c>
      <c r="F27" s="149">
        <v>72.430000000000007</v>
      </c>
    </row>
    <row r="28" spans="2:6">
      <c r="B28" s="148">
        <f t="shared" si="0"/>
        <v>2030</v>
      </c>
      <c r="C28" s="149">
        <v>84.3</v>
      </c>
      <c r="D28" s="149">
        <v>86.76</v>
      </c>
      <c r="E28" s="149">
        <v>76.010000000000005</v>
      </c>
      <c r="F28" s="149">
        <v>72.92</v>
      </c>
    </row>
    <row r="29" spans="2:6">
      <c r="B29" s="148">
        <f t="shared" si="0"/>
        <v>2031</v>
      </c>
      <c r="C29" s="149">
        <v>86.05</v>
      </c>
      <c r="D29" s="149">
        <v>89.23</v>
      </c>
      <c r="E29" s="149">
        <v>78.47</v>
      </c>
      <c r="F29" s="149">
        <v>75.22</v>
      </c>
    </row>
    <row r="30" spans="2:6">
      <c r="B30" s="148">
        <f t="shared" si="0"/>
        <v>2032</v>
      </c>
      <c r="C30" s="149">
        <v>87.73</v>
      </c>
      <c r="D30" s="149">
        <v>91.06</v>
      </c>
      <c r="E30" s="149">
        <v>80.03</v>
      </c>
      <c r="F30" s="149">
        <v>76.849999999999994</v>
      </c>
    </row>
    <row r="31" spans="2:6">
      <c r="B31" s="148">
        <f t="shared" si="0"/>
        <v>2033</v>
      </c>
      <c r="C31" s="149">
        <v>88.73</v>
      </c>
      <c r="D31" s="149">
        <v>92.51</v>
      </c>
      <c r="E31" s="149">
        <v>81.67</v>
      </c>
      <c r="F31" s="149">
        <v>78.2</v>
      </c>
    </row>
    <row r="32" spans="2:6">
      <c r="B32" s="148">
        <f t="shared" si="0"/>
        <v>2034</v>
      </c>
      <c r="C32" s="149">
        <v>90.39</v>
      </c>
      <c r="D32" s="149">
        <v>94.31</v>
      </c>
      <c r="E32" s="149">
        <v>83.8</v>
      </c>
      <c r="F32" s="149">
        <v>80.02</v>
      </c>
    </row>
    <row r="33" spans="2:6">
      <c r="B33" s="148">
        <f t="shared" si="0"/>
        <v>2035</v>
      </c>
      <c r="C33" s="149">
        <v>92.61</v>
      </c>
      <c r="D33" s="149">
        <v>97</v>
      </c>
      <c r="E33" s="149">
        <v>85.97</v>
      </c>
      <c r="F33" s="149">
        <v>81.83</v>
      </c>
    </row>
    <row r="34" spans="2:6">
      <c r="B34" s="148">
        <f t="shared" si="0"/>
        <v>2036</v>
      </c>
      <c r="C34" s="149">
        <v>93.23</v>
      </c>
      <c r="D34" s="149">
        <v>98.35</v>
      </c>
      <c r="E34" s="149">
        <v>87.87</v>
      </c>
      <c r="F34" s="149">
        <v>83.39</v>
      </c>
    </row>
    <row r="36" spans="2:6">
      <c r="B36" s="51" t="s">
        <v>129</v>
      </c>
    </row>
    <row r="37" spans="2:6">
      <c r="B37" s="117" t="s">
        <v>215</v>
      </c>
    </row>
    <row r="40" spans="2:6">
      <c r="B40" s="150"/>
    </row>
    <row r="41" spans="2:6">
      <c r="B41" s="150"/>
    </row>
    <row r="55" ht="24.75" customHeight="1"/>
  </sheetData>
  <printOptions horizontalCentered="1"/>
  <pageMargins left="0.25" right="0.25" top="0.75" bottom="0.75" header="0.3" footer="0.3"/>
  <pageSetup orientation="portrait" r:id="rId1"/>
  <headerFooter alignWithMargins="0">
    <oddFooter>&amp;L&amp;8NPC Group - &amp;F   ( &amp;A )&amp;C &amp;R &amp;8&amp;D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1">
    <pageSetUpPr fitToPage="1"/>
  </sheetPr>
  <dimension ref="B1:R31"/>
  <sheetViews>
    <sheetView showGridLines="0" view="pageLayout" zoomScaleNormal="100" workbookViewId="0">
      <selection activeCell="K19" sqref="K19"/>
    </sheetView>
  </sheetViews>
  <sheetFormatPr defaultRowHeight="12.75"/>
  <cols>
    <col min="1" max="1" width="1.6640625" style="118" customWidth="1"/>
    <col min="2" max="2" width="11" style="118" customWidth="1"/>
    <col min="3" max="3" width="14.1640625" style="118" customWidth="1"/>
    <col min="4" max="4" width="1.6640625" style="118" customWidth="1"/>
    <col min="5" max="16" width="11" style="118" customWidth="1"/>
    <col min="17" max="17" width="1.33203125" style="118" customWidth="1"/>
    <col min="18" max="18" width="9.33203125" style="118" customWidth="1"/>
    <col min="19" max="16384" width="9.33203125" style="118"/>
  </cols>
  <sheetData>
    <row r="1" spans="2:16" s="117" customFormat="1" ht="15.75">
      <c r="B1" s="66" t="s">
        <v>164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2:16" ht="15.75">
      <c r="B2" s="66" t="s">
        <v>162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2:16" ht="15.75">
      <c r="B3" s="66" t="str">
        <f>+'Table 1'!B3</f>
        <v>2012 through 2020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5" spans="2:16">
      <c r="B5" s="68" t="s">
        <v>163</v>
      </c>
    </row>
    <row r="6" spans="2:16">
      <c r="B6" s="69" t="s">
        <v>3</v>
      </c>
      <c r="C6" s="69" t="s">
        <v>96</v>
      </c>
      <c r="D6" s="124"/>
      <c r="E6" s="69" t="s">
        <v>51</v>
      </c>
      <c r="F6" s="69" t="s">
        <v>52</v>
      </c>
      <c r="G6" s="69" t="s">
        <v>53</v>
      </c>
      <c r="H6" s="69" t="s">
        <v>54</v>
      </c>
      <c r="I6" s="69" t="s">
        <v>55</v>
      </c>
      <c r="J6" s="69" t="s">
        <v>56</v>
      </c>
      <c r="K6" s="69" t="s">
        <v>57</v>
      </c>
      <c r="L6" s="69" t="s">
        <v>58</v>
      </c>
      <c r="M6" s="69" t="s">
        <v>59</v>
      </c>
      <c r="N6" s="69" t="s">
        <v>60</v>
      </c>
      <c r="O6" s="69" t="s">
        <v>61</v>
      </c>
      <c r="P6" s="69" t="s">
        <v>62</v>
      </c>
    </row>
    <row r="7" spans="2:16">
      <c r="B7" s="70">
        <f>+'Tables 3 to 6'!$B$12</f>
        <v>2012</v>
      </c>
      <c r="C7" s="125">
        <v>-789.88167777131116</v>
      </c>
      <c r="D7" s="126"/>
      <c r="E7" s="127"/>
      <c r="F7" s="128"/>
      <c r="G7" s="128"/>
      <c r="H7" s="128"/>
      <c r="I7" s="128"/>
      <c r="J7" s="128"/>
      <c r="K7" s="128">
        <v>-789.88167777131116</v>
      </c>
      <c r="L7" s="128">
        <v>-802.65453168161253</v>
      </c>
      <c r="M7" s="128">
        <v>-475.946395140086</v>
      </c>
      <c r="N7" s="128">
        <v>-60.110637819892929</v>
      </c>
      <c r="O7" s="128">
        <v>552.29484576172183</v>
      </c>
      <c r="P7" s="129">
        <v>1276.8887039632041</v>
      </c>
    </row>
    <row r="8" spans="2:16">
      <c r="B8" s="71">
        <f>+B7+1</f>
        <v>2013</v>
      </c>
      <c r="C8" s="130">
        <v>-840.19449666323567</v>
      </c>
      <c r="D8" s="131"/>
      <c r="E8" s="132">
        <v>1746.7676149249808</v>
      </c>
      <c r="F8" s="133">
        <v>1931.0140430210834</v>
      </c>
      <c r="G8" s="133">
        <v>19.964594541087536</v>
      </c>
      <c r="H8" s="133">
        <v>79.054930208370706</v>
      </c>
      <c r="I8" s="133">
        <v>-1429.9934855111933</v>
      </c>
      <c r="J8" s="133">
        <v>-1173.4183940371306</v>
      </c>
      <c r="K8" s="133">
        <v>-840.19449666323567</v>
      </c>
      <c r="L8" s="133">
        <v>-894.75099392569052</v>
      </c>
      <c r="M8" s="133">
        <v>-525.91611934116656</v>
      </c>
      <c r="N8" s="133">
        <v>113.90859597902806</v>
      </c>
      <c r="O8" s="133">
        <v>800.27121216064211</v>
      </c>
      <c r="P8" s="134">
        <v>1531.7329224211271</v>
      </c>
    </row>
    <row r="9" spans="2:16">
      <c r="B9" s="71">
        <f t="shared" ref="B9:B17" si="0">+B8+1</f>
        <v>2014</v>
      </c>
      <c r="C9" s="130">
        <v>-1526.3017952484538</v>
      </c>
      <c r="D9" s="131"/>
      <c r="E9" s="132">
        <v>1145.1408010989926</v>
      </c>
      <c r="F9" s="133">
        <v>925.7707094365702</v>
      </c>
      <c r="G9" s="133">
        <v>-879.33778991829581</v>
      </c>
      <c r="H9" s="133">
        <v>-974.90669933495383</v>
      </c>
      <c r="I9" s="133">
        <v>-2539.1570812753357</v>
      </c>
      <c r="J9" s="133">
        <v>-1903.7281900015632</v>
      </c>
      <c r="K9" s="133">
        <v>-1526.3017952484538</v>
      </c>
      <c r="L9" s="133">
        <v>-1431.9037696785902</v>
      </c>
      <c r="M9" s="133">
        <v>-1048.5342505144195</v>
      </c>
      <c r="N9" s="133">
        <v>-523.59815424684621</v>
      </c>
      <c r="O9" s="133">
        <v>591.95193153318417</v>
      </c>
      <c r="P9" s="134">
        <v>1093.4457147974549</v>
      </c>
    </row>
    <row r="10" spans="2:16">
      <c r="B10" s="71">
        <f t="shared" si="0"/>
        <v>2015</v>
      </c>
      <c r="C10" s="130">
        <v>-2039.2733773324333</v>
      </c>
      <c r="D10" s="131"/>
      <c r="E10" s="132">
        <v>740.6486471988635</v>
      </c>
      <c r="F10" s="133">
        <v>545.33524828759266</v>
      </c>
      <c r="G10" s="133">
        <v>-1312.9205585031802</v>
      </c>
      <c r="H10" s="133">
        <v>-1347.9111814934308</v>
      </c>
      <c r="I10" s="133">
        <v>-2904.7360867703901</v>
      </c>
      <c r="J10" s="133">
        <v>-2383.7645013045785</v>
      </c>
      <c r="K10" s="133">
        <v>-2039.2733773324333</v>
      </c>
      <c r="L10" s="133">
        <v>-1780.7130166944912</v>
      </c>
      <c r="M10" s="133">
        <v>-1234.0223615118728</v>
      </c>
      <c r="N10" s="133">
        <v>-814.95060762621802</v>
      </c>
      <c r="O10" s="133">
        <v>222.75923872170779</v>
      </c>
      <c r="P10" s="134">
        <v>594.12820113597741</v>
      </c>
    </row>
    <row r="11" spans="2:16">
      <c r="B11" s="71">
        <f t="shared" si="0"/>
        <v>2016</v>
      </c>
      <c r="C11" s="130">
        <v>-2212.0679304917294</v>
      </c>
      <c r="D11" s="131"/>
      <c r="E11" s="132">
        <v>550.17213167283342</v>
      </c>
      <c r="F11" s="133">
        <v>799.89201696394696</v>
      </c>
      <c r="G11" s="133">
        <v>-1517.9178236322596</v>
      </c>
      <c r="H11" s="133">
        <v>-1314.8752617945761</v>
      </c>
      <c r="I11" s="133">
        <v>-2879.2998050808842</v>
      </c>
      <c r="J11" s="133">
        <v>-2534.4567261977227</v>
      </c>
      <c r="K11" s="133">
        <v>-2212.0679304917294</v>
      </c>
      <c r="L11" s="133">
        <v>-1935.9891014620298</v>
      </c>
      <c r="M11" s="133">
        <v>-1464.9603464050178</v>
      </c>
      <c r="N11" s="133">
        <v>-1023.1088133488513</v>
      </c>
      <c r="O11" s="133">
        <v>30.917141599027275</v>
      </c>
      <c r="P11" s="134">
        <v>326.48526970780057</v>
      </c>
    </row>
    <row r="12" spans="2:16">
      <c r="B12" s="71">
        <f t="shared" si="0"/>
        <v>2017</v>
      </c>
      <c r="C12" s="130">
        <v>-2232.6696443332339</v>
      </c>
      <c r="D12" s="131"/>
      <c r="E12" s="132">
        <v>507.08341349932806</v>
      </c>
      <c r="F12" s="133">
        <v>734.14141495294325</v>
      </c>
      <c r="G12" s="133">
        <v>17.571204288134822</v>
      </c>
      <c r="H12" s="133">
        <v>-1615.5432457368163</v>
      </c>
      <c r="I12" s="133">
        <v>-2977.4930779156421</v>
      </c>
      <c r="J12" s="133">
        <v>-2623.0852766392263</v>
      </c>
      <c r="K12" s="133">
        <v>-2232.6696443332339</v>
      </c>
      <c r="L12" s="133">
        <v>-1987.2457294635337</v>
      </c>
      <c r="M12" s="133">
        <v>-1539.89072714652</v>
      </c>
      <c r="N12" s="133">
        <v>-687.87050154598796</v>
      </c>
      <c r="O12" s="133">
        <v>9.7215633225587226</v>
      </c>
      <c r="P12" s="134">
        <v>372.81748421632892</v>
      </c>
    </row>
    <row r="13" spans="2:16">
      <c r="B13" s="71">
        <f t="shared" si="0"/>
        <v>2018</v>
      </c>
      <c r="C13" s="130">
        <v>-2551.916763433409</v>
      </c>
      <c r="D13" s="131"/>
      <c r="E13" s="132">
        <v>402.87654733806505</v>
      </c>
      <c r="F13" s="133">
        <v>657.39852562679744</v>
      </c>
      <c r="G13" s="133">
        <v>-859.02840330200922</v>
      </c>
      <c r="H13" s="133">
        <v>-1258.0970250629648</v>
      </c>
      <c r="I13" s="133">
        <v>-3127.3479844485164</v>
      </c>
      <c r="J13" s="133">
        <v>-2756.5018509653746</v>
      </c>
      <c r="K13" s="133">
        <v>-2551.916763433409</v>
      </c>
      <c r="L13" s="133">
        <v>-2308.3771894037059</v>
      </c>
      <c r="M13" s="133">
        <v>-1837.6782397952363</v>
      </c>
      <c r="N13" s="133">
        <v>-806.55579524264863</v>
      </c>
      <c r="O13" s="133">
        <v>-50.273631203588081</v>
      </c>
      <c r="P13" s="134">
        <v>247.25288421818021</v>
      </c>
    </row>
    <row r="14" spans="2:16">
      <c r="B14" s="71">
        <f t="shared" si="0"/>
        <v>2019</v>
      </c>
      <c r="C14" s="130">
        <v>-2695.0642644912532</v>
      </c>
      <c r="D14" s="131"/>
      <c r="E14" s="132">
        <v>311.24577253806677</v>
      </c>
      <c r="F14" s="133">
        <v>553.36731562679699</v>
      </c>
      <c r="G14" s="133">
        <v>-924.97681970076155</v>
      </c>
      <c r="H14" s="133">
        <v>-1360.5910129271931</v>
      </c>
      <c r="I14" s="133">
        <v>-2804.9661644485159</v>
      </c>
      <c r="J14" s="133">
        <v>-2884.218064463837</v>
      </c>
      <c r="K14" s="133">
        <v>-2695.0642644912532</v>
      </c>
      <c r="L14" s="133">
        <v>-2474.7648274037069</v>
      </c>
      <c r="M14" s="133">
        <v>-1973.4544752952365</v>
      </c>
      <c r="N14" s="133">
        <v>-954.6228052426477</v>
      </c>
      <c r="O14" s="133">
        <v>-101.46248387358969</v>
      </c>
      <c r="P14" s="134">
        <v>218.71707689018092</v>
      </c>
    </row>
    <row r="15" spans="2:16">
      <c r="B15" s="71">
        <f t="shared" si="0"/>
        <v>2020</v>
      </c>
      <c r="C15" s="130"/>
      <c r="D15" s="131"/>
      <c r="E15" s="135" t="s">
        <v>181</v>
      </c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7"/>
    </row>
    <row r="16" spans="2:16" hidden="1">
      <c r="B16" s="71">
        <f t="shared" si="0"/>
        <v>2021</v>
      </c>
      <c r="C16" s="130"/>
      <c r="D16" s="131"/>
      <c r="E16" s="135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7"/>
    </row>
    <row r="17" spans="2:18" hidden="1">
      <c r="B17" s="72">
        <f t="shared" si="0"/>
        <v>2022</v>
      </c>
      <c r="C17" s="138"/>
      <c r="D17" s="122"/>
      <c r="E17" s="139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1"/>
    </row>
    <row r="18" spans="2:18" s="131" customFormat="1">
      <c r="B18" s="94"/>
      <c r="C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R18" s="118"/>
    </row>
    <row r="19" spans="2:18" s="131" customFormat="1">
      <c r="B19" s="67"/>
      <c r="C19" s="60" t="s">
        <v>182</v>
      </c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R19" s="118"/>
    </row>
    <row r="20" spans="2:18" s="131" customFormat="1">
      <c r="B20" s="60" t="s">
        <v>3</v>
      </c>
      <c r="C20" s="60" t="s">
        <v>183</v>
      </c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R20" s="118"/>
    </row>
    <row r="21" spans="2:18" s="131" customFormat="1">
      <c r="B21" s="73">
        <f>+B7</f>
        <v>2012</v>
      </c>
      <c r="C21" s="142">
        <f t="shared" ref="C21:C30" si="1">COUNTIF(E7:P7,"&lt;0")</f>
        <v>4</v>
      </c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R21" s="118"/>
    </row>
    <row r="22" spans="2:18" s="131" customFormat="1">
      <c r="B22" s="74">
        <f t="shared" ref="B22:B30" si="2">+B8</f>
        <v>2013</v>
      </c>
      <c r="C22" s="143">
        <f t="shared" si="1"/>
        <v>5</v>
      </c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R22" s="118"/>
    </row>
    <row r="23" spans="2:18" s="131" customFormat="1">
      <c r="B23" s="74">
        <f t="shared" si="2"/>
        <v>2014</v>
      </c>
      <c r="C23" s="143">
        <f t="shared" si="1"/>
        <v>8</v>
      </c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R23" s="118"/>
    </row>
    <row r="24" spans="2:18" s="131" customFormat="1">
      <c r="B24" s="74">
        <f t="shared" si="2"/>
        <v>2015</v>
      </c>
      <c r="C24" s="143">
        <f t="shared" si="1"/>
        <v>8</v>
      </c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R24" s="118"/>
    </row>
    <row r="25" spans="2:18">
      <c r="B25" s="74">
        <f t="shared" si="2"/>
        <v>2016</v>
      </c>
      <c r="C25" s="143">
        <f t="shared" si="1"/>
        <v>8</v>
      </c>
      <c r="D25" s="131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</row>
    <row r="26" spans="2:18">
      <c r="B26" s="74">
        <f t="shared" si="2"/>
        <v>2017</v>
      </c>
      <c r="C26" s="143">
        <f t="shared" si="1"/>
        <v>7</v>
      </c>
      <c r="D26" s="131"/>
    </row>
    <row r="27" spans="2:18">
      <c r="B27" s="74">
        <f t="shared" si="2"/>
        <v>2018</v>
      </c>
      <c r="C27" s="143">
        <f t="shared" si="1"/>
        <v>9</v>
      </c>
      <c r="D27" s="131"/>
    </row>
    <row r="28" spans="2:18">
      <c r="B28" s="74">
        <f t="shared" si="2"/>
        <v>2019</v>
      </c>
      <c r="C28" s="143">
        <f t="shared" si="1"/>
        <v>9</v>
      </c>
      <c r="D28" s="131"/>
    </row>
    <row r="29" spans="2:18" hidden="1">
      <c r="B29" s="74">
        <f t="shared" si="2"/>
        <v>2020</v>
      </c>
      <c r="C29" s="143">
        <f t="shared" si="1"/>
        <v>0</v>
      </c>
      <c r="D29" s="131"/>
    </row>
    <row r="30" spans="2:18" hidden="1">
      <c r="B30" s="75">
        <f t="shared" si="2"/>
        <v>2021</v>
      </c>
      <c r="C30" s="144">
        <f t="shared" si="1"/>
        <v>0</v>
      </c>
      <c r="D30" s="131"/>
    </row>
    <row r="31" spans="2:18">
      <c r="B31" s="94"/>
      <c r="C31" s="126"/>
    </row>
  </sheetData>
  <printOptions horizontalCentered="1"/>
  <pageMargins left="0.3" right="0.3" top="0.8" bottom="0.4" header="0.5" footer="0.2"/>
  <pageSetup scale="90" orientation="landscape" r:id="rId1"/>
  <headerFooter alignWithMargins="0">
    <oddFooter>&amp;L&amp;8Net Power Cost   &amp;D &amp;T &amp;R &amp;8 &amp;F   ( &amp;A 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P28"/>
  <sheetViews>
    <sheetView showGridLines="0" tabSelected="1" view="pageLayout" zoomScaleNormal="100" workbookViewId="0">
      <selection activeCell="K19" sqref="K19"/>
    </sheetView>
  </sheetViews>
  <sheetFormatPr defaultRowHeight="12.75"/>
  <cols>
    <col min="1" max="1" width="1.6640625" style="118" customWidth="1"/>
    <col min="2" max="2" width="11.83203125" style="118" customWidth="1"/>
    <col min="3" max="3" width="33.6640625" style="118" customWidth="1"/>
    <col min="4" max="4" width="1.6640625" style="118" customWidth="1"/>
    <col min="5" max="16" width="11" style="118" customWidth="1"/>
    <col min="17" max="17" width="1.33203125" style="118" customWidth="1"/>
    <col min="18" max="18" width="9.33203125" style="118" customWidth="1"/>
    <col min="19" max="16384" width="9.33203125" style="118"/>
  </cols>
  <sheetData>
    <row r="1" spans="2:16" s="117" customFormat="1" ht="15.75">
      <c r="B1" s="66" t="s">
        <v>180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2:16" ht="15.75">
      <c r="B2" s="66" t="s">
        <v>166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2:16" ht="15.75">
      <c r="B3" s="66" t="str">
        <f>+'Table 1'!B3</f>
        <v>2012 through 2020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2:16">
      <c r="N4" s="116"/>
    </row>
    <row r="5" spans="2:16">
      <c r="B5" s="67"/>
      <c r="N5" s="116"/>
    </row>
    <row r="6" spans="2:16">
      <c r="B6" s="67"/>
      <c r="N6" s="116"/>
    </row>
    <row r="7" spans="2:16">
      <c r="B7" s="119"/>
      <c r="C7" s="118" t="s">
        <v>167</v>
      </c>
      <c r="E7" s="120">
        <f>+'Tables 3 to 6'!$B$12</f>
        <v>2012</v>
      </c>
      <c r="F7" s="120">
        <f>+E7+1</f>
        <v>2013</v>
      </c>
      <c r="G7" s="120">
        <f t="shared" ref="G7:J7" si="0">+F7+1</f>
        <v>2014</v>
      </c>
      <c r="H7" s="120">
        <f t="shared" si="0"/>
        <v>2015</v>
      </c>
      <c r="I7" s="120">
        <f t="shared" si="0"/>
        <v>2016</v>
      </c>
      <c r="J7" s="120">
        <f t="shared" si="0"/>
        <v>2017</v>
      </c>
      <c r="K7" s="120">
        <f t="shared" ref="K7" si="1">+J7+1</f>
        <v>2018</v>
      </c>
      <c r="L7" s="120">
        <f t="shared" ref="L7" si="2">+K7+1</f>
        <v>2019</v>
      </c>
      <c r="M7" s="120">
        <f t="shared" ref="M7" si="3">+L7+1</f>
        <v>2020</v>
      </c>
      <c r="N7" s="116"/>
    </row>
    <row r="8" spans="2:16">
      <c r="B8" s="119"/>
      <c r="C8" s="121" t="s">
        <v>168</v>
      </c>
      <c r="E8" s="121" t="s">
        <v>168</v>
      </c>
      <c r="F8" s="121" t="s">
        <v>168</v>
      </c>
      <c r="G8" s="121" t="s">
        <v>168</v>
      </c>
      <c r="H8" s="121" t="s">
        <v>168</v>
      </c>
      <c r="I8" s="121" t="s">
        <v>168</v>
      </c>
      <c r="J8" s="121" t="s">
        <v>168</v>
      </c>
      <c r="K8" s="121" t="s">
        <v>168</v>
      </c>
      <c r="L8" s="121" t="s">
        <v>168</v>
      </c>
      <c r="M8" s="121" t="s">
        <v>168</v>
      </c>
      <c r="N8" s="116"/>
    </row>
    <row r="9" spans="2:16">
      <c r="B9" s="119" t="s">
        <v>23</v>
      </c>
      <c r="C9" s="118" t="s">
        <v>169</v>
      </c>
      <c r="E9" s="118">
        <f>+'Table 1'!C23</f>
        <v>9612.5690357759995</v>
      </c>
      <c r="F9" s="118">
        <f>+'Table 1'!D23</f>
        <v>9809.5613690999999</v>
      </c>
      <c r="G9" s="118">
        <f>+'Table 1'!E23</f>
        <v>10040.732035776</v>
      </c>
      <c r="H9" s="118">
        <f>+'Table 1'!F23</f>
        <v>10200.920035776</v>
      </c>
      <c r="I9" s="118">
        <f>+'Table 1'!G23</f>
        <v>10365.837035776</v>
      </c>
      <c r="J9" s="118">
        <f>+'Table 1'!H23</f>
        <v>10596.911930176</v>
      </c>
      <c r="K9" s="118">
        <f>+'Table 1'!I23</f>
        <v>10705.452035776001</v>
      </c>
      <c r="L9" s="118">
        <f>+'Table 1'!J23</f>
        <v>10800.6493691</v>
      </c>
      <c r="M9" s="118">
        <f>+'Table 1'!K23</f>
        <v>10910.667035775999</v>
      </c>
      <c r="N9" s="116"/>
    </row>
    <row r="10" spans="2:16">
      <c r="B10" s="119" t="s">
        <v>24</v>
      </c>
      <c r="C10" s="118" t="s">
        <v>170</v>
      </c>
      <c r="E10" s="122">
        <f>+'Table 1'!C24+'Table 1'!C25</f>
        <v>410.37819723699999</v>
      </c>
      <c r="F10" s="122">
        <f>+'Table 1'!D24+'Table 1'!D25</f>
        <v>360.35700099999997</v>
      </c>
      <c r="G10" s="122">
        <f>+'Table 1'!E24+'Table 1'!E25</f>
        <v>310.35700099999997</v>
      </c>
      <c r="H10" s="122">
        <f>+'Table 1'!F24+'Table 1'!F25</f>
        <v>210.357001</v>
      </c>
      <c r="I10" s="122">
        <f>+'Table 1'!G24+'Table 1'!G25</f>
        <v>210.357001</v>
      </c>
      <c r="J10" s="122">
        <f>+'Table 1'!H24+'Table 1'!H25</f>
        <v>135.357001</v>
      </c>
      <c r="K10" s="122">
        <f>+'Table 1'!I24+'Table 1'!I25</f>
        <v>135.357001</v>
      </c>
      <c r="L10" s="122">
        <f>+'Table 1'!J24+'Table 1'!J25</f>
        <v>135.357001</v>
      </c>
      <c r="M10" s="122">
        <f>+'Table 1'!K24+'Table 1'!K25</f>
        <v>135.357001</v>
      </c>
      <c r="N10" s="116"/>
    </row>
    <row r="11" spans="2:16">
      <c r="B11" s="119" t="s">
        <v>178</v>
      </c>
      <c r="C11" s="118" t="s">
        <v>171</v>
      </c>
      <c r="E11" s="118">
        <f>+SUM(E9:E10)</f>
        <v>10022.947233012999</v>
      </c>
      <c r="F11" s="118">
        <f t="shared" ref="F11:J11" si="4">+SUM(F9:F10)</f>
        <v>10169.9183701</v>
      </c>
      <c r="G11" s="118">
        <f t="shared" si="4"/>
        <v>10351.089036776</v>
      </c>
      <c r="H11" s="118">
        <f t="shared" si="4"/>
        <v>10411.277036776</v>
      </c>
      <c r="I11" s="118">
        <f t="shared" si="4"/>
        <v>10576.194036776</v>
      </c>
      <c r="J11" s="118">
        <f t="shared" si="4"/>
        <v>10732.268931176</v>
      </c>
      <c r="K11" s="118">
        <f t="shared" ref="K11:M11" si="5">+SUM(K9:K10)</f>
        <v>10840.809036776001</v>
      </c>
      <c r="L11" s="118">
        <f t="shared" si="5"/>
        <v>10936.0063701</v>
      </c>
      <c r="M11" s="118">
        <f t="shared" si="5"/>
        <v>11046.024036776</v>
      </c>
      <c r="N11" s="116"/>
    </row>
    <row r="12" spans="2:16">
      <c r="B12" s="119"/>
      <c r="N12" s="116"/>
    </row>
    <row r="13" spans="2:16">
      <c r="B13" s="119"/>
      <c r="N13" s="116"/>
    </row>
    <row r="14" spans="2:16">
      <c r="B14" s="119" t="s">
        <v>26</v>
      </c>
      <c r="C14" s="118" t="s">
        <v>172</v>
      </c>
      <c r="E14" s="118">
        <v>718.58408000000009</v>
      </c>
      <c r="F14" s="118">
        <v>721.02457000000004</v>
      </c>
      <c r="G14" s="118">
        <v>745.49783000000002</v>
      </c>
      <c r="H14" s="118">
        <v>738.95110499999998</v>
      </c>
      <c r="I14" s="118">
        <v>737.84355600000004</v>
      </c>
      <c r="J14" s="118">
        <v>740.90509999999995</v>
      </c>
      <c r="K14" s="118">
        <v>733.2327949999999</v>
      </c>
      <c r="L14" s="118">
        <v>728.79526999999996</v>
      </c>
      <c r="M14" s="118">
        <v>727.86671999999999</v>
      </c>
      <c r="N14" s="116"/>
    </row>
    <row r="15" spans="2:16">
      <c r="B15" s="119" t="s">
        <v>27</v>
      </c>
      <c r="C15" s="118" t="s">
        <v>173</v>
      </c>
      <c r="E15" s="122">
        <v>731.20779919731103</v>
      </c>
      <c r="F15" s="122">
        <v>732.41117394838921</v>
      </c>
      <c r="G15" s="122">
        <v>729.10225953510803</v>
      </c>
      <c r="H15" s="122">
        <v>689.06677372658532</v>
      </c>
      <c r="I15" s="122">
        <v>695.59806861972993</v>
      </c>
      <c r="J15" s="122">
        <v>696.00501206123363</v>
      </c>
      <c r="K15" s="122">
        <v>682.98433056140652</v>
      </c>
      <c r="L15" s="122">
        <v>682.98433056140652</v>
      </c>
      <c r="M15" s="122">
        <v>682.98433056140652</v>
      </c>
      <c r="N15" s="116"/>
    </row>
    <row r="16" spans="2:16">
      <c r="B16" s="119" t="s">
        <v>177</v>
      </c>
      <c r="C16" s="118" t="s">
        <v>174</v>
      </c>
      <c r="E16" s="118">
        <f>SUM(E14:E15)</f>
        <v>1449.7918791973111</v>
      </c>
      <c r="F16" s="118">
        <f t="shared" ref="F16:M16" si="6">SUM(F14:F15)</f>
        <v>1453.4357439483892</v>
      </c>
      <c r="G16" s="118">
        <f t="shared" si="6"/>
        <v>1474.6000895351081</v>
      </c>
      <c r="H16" s="118">
        <f t="shared" si="6"/>
        <v>1428.0178787265854</v>
      </c>
      <c r="I16" s="118">
        <f t="shared" si="6"/>
        <v>1433.44162461973</v>
      </c>
      <c r="J16" s="118">
        <f t="shared" si="6"/>
        <v>1436.9101120612336</v>
      </c>
      <c r="K16" s="118">
        <f t="shared" si="6"/>
        <v>1416.2171255614064</v>
      </c>
      <c r="L16" s="118">
        <f t="shared" si="6"/>
        <v>1411.7796005614064</v>
      </c>
      <c r="M16" s="118">
        <f t="shared" si="6"/>
        <v>1410.8510505614065</v>
      </c>
      <c r="N16" s="116"/>
    </row>
    <row r="17" spans="2:14">
      <c r="B17" s="119"/>
      <c r="E17" s="121" t="s">
        <v>168</v>
      </c>
      <c r="F17" s="121" t="s">
        <v>168</v>
      </c>
      <c r="G17" s="121" t="s">
        <v>168</v>
      </c>
      <c r="H17" s="121" t="s">
        <v>168</v>
      </c>
      <c r="I17" s="121" t="s">
        <v>168</v>
      </c>
      <c r="J17" s="121" t="s">
        <v>168</v>
      </c>
      <c r="K17" s="121" t="s">
        <v>168</v>
      </c>
      <c r="L17" s="121" t="s">
        <v>168</v>
      </c>
      <c r="M17" s="121" t="s">
        <v>168</v>
      </c>
      <c r="N17" s="116"/>
    </row>
    <row r="18" spans="2:14">
      <c r="B18" s="119" t="s">
        <v>176</v>
      </c>
      <c r="C18" s="118" t="s">
        <v>179</v>
      </c>
      <c r="E18" s="123">
        <f>+E16/E11</f>
        <v>0.14464726247605805</v>
      </c>
      <c r="F18" s="123">
        <f t="shared" ref="F18:J18" si="7">+F16/F11</f>
        <v>0.14291518290073529</v>
      </c>
      <c r="G18" s="123">
        <f t="shared" si="7"/>
        <v>0.14245844898986532</v>
      </c>
      <c r="H18" s="123">
        <f t="shared" si="7"/>
        <v>0.13716068390864675</v>
      </c>
      <c r="I18" s="123">
        <f t="shared" si="7"/>
        <v>0.13553473202508431</v>
      </c>
      <c r="J18" s="123">
        <f t="shared" si="7"/>
        <v>0.13388689020708155</v>
      </c>
      <c r="K18" s="123">
        <f t="shared" ref="K18:M18" si="8">+K16/K11</f>
        <v>0.13063758624998176</v>
      </c>
      <c r="L18" s="123">
        <f t="shared" si="8"/>
        <v>0.12909462127064369</v>
      </c>
      <c r="M18" s="123">
        <f t="shared" si="8"/>
        <v>0.12772478548518451</v>
      </c>
      <c r="N18" s="116"/>
    </row>
    <row r="19" spans="2:14">
      <c r="B19" s="119"/>
      <c r="E19" s="121" t="s">
        <v>175</v>
      </c>
      <c r="F19" s="121" t="s">
        <v>175</v>
      </c>
      <c r="G19" s="121" t="s">
        <v>175</v>
      </c>
      <c r="H19" s="121" t="s">
        <v>175</v>
      </c>
      <c r="I19" s="121" t="s">
        <v>175</v>
      </c>
      <c r="J19" s="121" t="s">
        <v>175</v>
      </c>
      <c r="K19" s="121" t="s">
        <v>175</v>
      </c>
      <c r="L19" s="121" t="s">
        <v>175</v>
      </c>
      <c r="M19" s="121" t="s">
        <v>175</v>
      </c>
      <c r="N19" s="116"/>
    </row>
    <row r="20" spans="2:14">
      <c r="B20" s="119"/>
      <c r="N20" s="116"/>
    </row>
    <row r="21" spans="2:14">
      <c r="B21" s="119"/>
      <c r="N21" s="116"/>
    </row>
    <row r="22" spans="2:14">
      <c r="B22" s="119"/>
      <c r="N22" s="116"/>
    </row>
    <row r="23" spans="2:14">
      <c r="B23" s="119"/>
      <c r="N23" s="116"/>
    </row>
    <row r="24" spans="2:14">
      <c r="B24" s="119"/>
      <c r="N24" s="116"/>
    </row>
    <row r="25" spans="2:14">
      <c r="B25" s="119"/>
      <c r="N25" s="116"/>
    </row>
    <row r="26" spans="2:14">
      <c r="B26" s="119"/>
      <c r="N26" s="116"/>
    </row>
    <row r="27" spans="2:14">
      <c r="B27" s="119"/>
    </row>
    <row r="28" spans="2:14">
      <c r="B28" s="119"/>
    </row>
  </sheetData>
  <printOptions horizontalCentered="1"/>
  <pageMargins left="0.3" right="0.3" top="0.8" bottom="0.4" header="0.5" footer="0.2"/>
  <pageSetup scale="81" orientation="landscape" r:id="rId1"/>
  <headerFooter alignWithMargins="0">
    <oddFooter>&amp;L&amp;8Net Power Cost   &amp;D &amp;T &amp;R &amp;8 &amp;F   ( &amp;A 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Table 1</vt:lpstr>
      <vt:lpstr>Table 2</vt:lpstr>
      <vt:lpstr>Tables 3 to 6</vt:lpstr>
      <vt:lpstr>Table 7</vt:lpstr>
      <vt:lpstr>Table 8</vt:lpstr>
      <vt:lpstr>Table 9</vt:lpstr>
      <vt:lpstr>Table 10</vt:lpstr>
      <vt:lpstr>Table 11</vt:lpstr>
      <vt:lpstr>Table 12</vt:lpstr>
      <vt:lpstr>--- Do Not Print ---&gt;</vt:lpstr>
      <vt:lpstr>Tariff Page</vt:lpstr>
      <vt:lpstr>'Table 1'!Print_Area</vt:lpstr>
      <vt:lpstr>'Table 10'!Print_Area</vt:lpstr>
      <vt:lpstr>'Table 11'!Print_Area</vt:lpstr>
      <vt:lpstr>'Table 12'!Print_Area</vt:lpstr>
      <vt:lpstr>'Table 2'!Print_Area</vt:lpstr>
      <vt:lpstr>'Table 7'!Print_Area</vt:lpstr>
      <vt:lpstr>'Table 8'!Print_Area</vt:lpstr>
      <vt:lpstr>'Table 9'!Print_Area</vt:lpstr>
      <vt:lpstr>'Tables 3 to 6'!Print_Area</vt:lpstr>
      <vt:lpstr>'Tariff Page'!Print_Area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 </cp:lastModifiedBy>
  <cp:lastPrinted>2012-06-28T20:22:49Z</cp:lastPrinted>
  <dcterms:created xsi:type="dcterms:W3CDTF">2001-03-19T15:45:46Z</dcterms:created>
  <dcterms:modified xsi:type="dcterms:W3CDTF">2012-07-02T20:27:32Z</dcterms:modified>
</cp:coreProperties>
</file>