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540" yWindow="855" windowWidth="19320" windowHeight="10905"/>
  </bookViews>
  <sheets>
    <sheet name="2011Summary" sheetId="1" r:id="rId1"/>
    <sheet name="Sheet1" sheetId="2" r:id="rId2"/>
  </sheets>
  <definedNames>
    <definedName name="_xlnm.Print_Area" localSheetId="0">'2011Summary'!$A$1:$AC$759</definedName>
    <definedName name="_xlnm.Print_Titles" localSheetId="0">'2011Summary'!$1:$12</definedName>
  </definedNames>
  <calcPr calcId="125725"/>
</workbook>
</file>

<file path=xl/calcChain.xml><?xml version="1.0" encoding="utf-8"?>
<calcChain xmlns="http://schemas.openxmlformats.org/spreadsheetml/2006/main">
  <c r="AB405" i="1"/>
  <c r="Z405"/>
  <c r="E530"/>
  <c r="E529"/>
  <c r="E528"/>
  <c r="E527"/>
  <c r="E523"/>
  <c r="E522"/>
  <c r="E519"/>
  <c r="E515"/>
  <c r="E514"/>
  <c r="E511"/>
  <c r="E507"/>
  <c r="E506"/>
  <c r="E503"/>
  <c r="E499"/>
  <c r="E498"/>
  <c r="E495"/>
  <c r="E491"/>
  <c r="E490"/>
  <c r="E487"/>
  <c r="E483"/>
  <c r="E482"/>
  <c r="E479"/>
  <c r="E475"/>
  <c r="E472"/>
  <c r="E468"/>
  <c r="E467"/>
  <c r="E464"/>
  <c r="E453"/>
  <c r="E449"/>
  <c r="E445"/>
  <c r="E444"/>
  <c r="E440"/>
  <c r="E436"/>
  <c r="E435"/>
  <c r="E431"/>
  <c r="E427"/>
  <c r="E426"/>
  <c r="E422"/>
  <c r="AN738" l="1"/>
  <c r="AN737"/>
  <c r="AN736"/>
  <c r="AN735"/>
  <c r="AN734"/>
  <c r="AN730"/>
  <c r="AN729"/>
  <c r="AN728"/>
  <c r="AN727"/>
  <c r="AN726"/>
  <c r="AN725"/>
  <c r="AN724"/>
  <c r="AN720"/>
  <c r="AN719"/>
  <c r="AN718"/>
  <c r="AN717"/>
  <c r="AN716"/>
  <c r="AN715"/>
  <c r="AN714"/>
  <c r="AN713"/>
  <c r="AN709"/>
  <c r="AN708"/>
  <c r="AN707"/>
  <c r="AN706"/>
  <c r="AN705"/>
  <c r="AN704"/>
  <c r="AN700"/>
  <c r="AN699"/>
  <c r="AN698"/>
  <c r="AN697"/>
  <c r="AN696"/>
  <c r="AN695"/>
  <c r="AN694"/>
  <c r="AN690"/>
  <c r="AN689"/>
  <c r="AN688"/>
  <c r="AN687"/>
  <c r="AN686"/>
  <c r="AN685"/>
  <c r="AN681"/>
  <c r="AN680"/>
  <c r="AN679"/>
  <c r="AN678"/>
  <c r="AN677"/>
  <c r="AN676"/>
  <c r="Z738"/>
  <c r="Z737"/>
  <c r="Z736"/>
  <c r="Z735"/>
  <c r="Z734"/>
  <c r="Z739" s="1"/>
  <c r="Z730"/>
  <c r="Z729"/>
  <c r="Z728"/>
  <c r="Z727"/>
  <c r="Z726"/>
  <c r="Z725"/>
  <c r="Z724"/>
  <c r="Z681"/>
  <c r="Z680"/>
  <c r="Z679"/>
  <c r="Z678"/>
  <c r="Z677"/>
  <c r="Z676"/>
  <c r="Z720"/>
  <c r="Z719"/>
  <c r="Z718"/>
  <c r="Z717"/>
  <c r="Z716"/>
  <c r="Z715"/>
  <c r="Z713"/>
  <c r="Z714"/>
  <c r="Z709"/>
  <c r="Z708"/>
  <c r="Z707"/>
  <c r="Z706"/>
  <c r="Z705"/>
  <c r="Z704"/>
  <c r="Z700"/>
  <c r="Z699"/>
  <c r="Z698"/>
  <c r="Z697"/>
  <c r="Z696"/>
  <c r="Z695"/>
  <c r="Z690"/>
  <c r="Z689"/>
  <c r="Z688"/>
  <c r="Z687"/>
  <c r="Z686"/>
  <c r="Z685"/>
  <c r="Z755"/>
  <c r="Z754"/>
  <c r="Z753"/>
  <c r="Z752"/>
  <c r="Z751"/>
  <c r="Z750"/>
  <c r="Z749"/>
  <c r="Z748"/>
  <c r="Z747"/>
  <c r="Z746"/>
  <c r="Z745"/>
  <c r="Z667"/>
  <c r="Z666"/>
  <c r="Z665"/>
  <c r="Z664"/>
  <c r="Z663"/>
  <c r="Z662"/>
  <c r="Z661"/>
  <c r="Z660"/>
  <c r="Z659"/>
  <c r="Z658"/>
  <c r="Z657"/>
  <c r="Z656"/>
  <c r="Z655"/>
  <c r="Z651"/>
  <c r="Z650"/>
  <c r="Z649"/>
  <c r="Z648"/>
  <c r="Z647"/>
  <c r="Z646"/>
  <c r="Z645"/>
  <c r="Z644"/>
  <c r="Z643"/>
  <c r="Z642"/>
  <c r="Z641"/>
  <c r="Z640"/>
  <c r="Z639"/>
  <c r="Z635"/>
  <c r="Z634"/>
  <c r="Z633"/>
  <c r="Z632"/>
  <c r="Z631"/>
  <c r="Z630"/>
  <c r="Z629"/>
  <c r="Z628"/>
  <c r="Z627"/>
  <c r="Z626"/>
  <c r="Z625"/>
  <c r="Z624"/>
  <c r="Z623"/>
  <c r="Z622"/>
  <c r="Z618"/>
  <c r="Z617"/>
  <c r="Z616"/>
  <c r="Z615"/>
  <c r="Z614"/>
  <c r="Z613"/>
  <c r="Z612"/>
  <c r="Z611"/>
  <c r="Z610"/>
  <c r="Z609"/>
  <c r="Z608"/>
  <c r="Z607"/>
  <c r="Z606"/>
  <c r="Z605"/>
  <c r="Z601"/>
  <c r="Z600"/>
  <c r="Z599"/>
  <c r="Z598"/>
  <c r="Z597"/>
  <c r="Z596"/>
  <c r="Z595"/>
  <c r="Z594"/>
  <c r="Z593"/>
  <c r="Z592"/>
  <c r="Z591"/>
  <c r="Z590"/>
  <c r="Z589"/>
  <c r="Z588"/>
  <c r="Z584"/>
  <c r="Z583"/>
  <c r="Z582"/>
  <c r="Z581"/>
  <c r="Z580"/>
  <c r="Z579"/>
  <c r="Z578"/>
  <c r="Z577"/>
  <c r="Z576"/>
  <c r="Z575"/>
  <c r="Z574"/>
  <c r="Z573"/>
  <c r="Z572"/>
  <c r="Z571"/>
  <c r="Z564"/>
  <c r="Z563"/>
  <c r="Z562"/>
  <c r="Z561"/>
  <c r="Z560"/>
  <c r="Z559"/>
  <c r="Z558"/>
  <c r="Z557"/>
  <c r="Z556"/>
  <c r="Z555"/>
  <c r="Z535"/>
  <c r="Z534"/>
  <c r="Z530"/>
  <c r="Z529"/>
  <c r="Z528"/>
  <c r="Z527"/>
  <c r="Z523"/>
  <c r="Z522"/>
  <c r="Z521"/>
  <c r="Z520"/>
  <c r="Z519"/>
  <c r="Z515"/>
  <c r="Z514"/>
  <c r="Z513"/>
  <c r="Z512"/>
  <c r="Z511"/>
  <c r="Z507"/>
  <c r="Z506"/>
  <c r="Z505"/>
  <c r="Z504"/>
  <c r="Z503"/>
  <c r="Z508" s="1"/>
  <c r="Z499"/>
  <c r="Z498"/>
  <c r="Z497"/>
  <c r="Z496"/>
  <c r="Z495"/>
  <c r="Z491"/>
  <c r="Z490"/>
  <c r="Z489"/>
  <c r="Z488"/>
  <c r="Z487"/>
  <c r="Z492" s="1"/>
  <c r="Z483"/>
  <c r="Z482"/>
  <c r="Z481"/>
  <c r="Z480"/>
  <c r="Z479"/>
  <c r="Z475"/>
  <c r="Z474"/>
  <c r="Z473"/>
  <c r="Z472"/>
  <c r="Z468"/>
  <c r="Z467"/>
  <c r="Z466"/>
  <c r="Z465"/>
  <c r="Z464"/>
  <c r="Z469" s="1"/>
  <c r="Z453"/>
  <c r="Z452"/>
  <c r="Z451"/>
  <c r="Z450"/>
  <c r="Z449"/>
  <c r="Z445"/>
  <c r="Z444"/>
  <c r="Z443"/>
  <c r="Z442"/>
  <c r="Z441"/>
  <c r="Z440"/>
  <c r="Z436"/>
  <c r="Z435"/>
  <c r="Z434"/>
  <c r="Z433"/>
  <c r="Z432"/>
  <c r="Z431"/>
  <c r="Z427"/>
  <c r="Z426"/>
  <c r="Z425"/>
  <c r="Z424"/>
  <c r="Z423"/>
  <c r="Z422"/>
  <c r="Z418"/>
  <c r="Z417"/>
  <c r="Z416"/>
  <c r="Z415"/>
  <c r="Z414"/>
  <c r="Z413"/>
  <c r="Z402"/>
  <c r="Z401"/>
  <c r="Z400"/>
  <c r="Z399"/>
  <c r="Z398"/>
  <c r="Z397"/>
  <c r="Z396"/>
  <c r="Z403" s="1"/>
  <c r="Z392"/>
  <c r="Z391"/>
  <c r="Z390"/>
  <c r="Z389"/>
  <c r="Z388"/>
  <c r="Z387"/>
  <c r="Z393" s="1"/>
  <c r="Z383"/>
  <c r="Z382"/>
  <c r="Z381"/>
  <c r="Z380"/>
  <c r="Z379"/>
  <c r="Z375"/>
  <c r="Z374"/>
  <c r="Z373"/>
  <c r="Z372"/>
  <c r="Z371"/>
  <c r="Z376" s="1"/>
  <c r="Z367"/>
  <c r="Z366"/>
  <c r="Z365"/>
  <c r="Z364"/>
  <c r="Z363"/>
  <c r="Z362"/>
  <c r="Z361"/>
  <c r="Z360"/>
  <c r="Z368" s="1"/>
  <c r="Z356"/>
  <c r="Z355"/>
  <c r="Z354"/>
  <c r="Z353"/>
  <c r="Z352"/>
  <c r="Z348"/>
  <c r="Z347"/>
  <c r="Z346"/>
  <c r="Z345"/>
  <c r="Z344"/>
  <c r="Z343"/>
  <c r="Z339"/>
  <c r="Z338"/>
  <c r="Z337"/>
  <c r="Z336"/>
  <c r="Z335"/>
  <c r="Z334"/>
  <c r="Z330"/>
  <c r="Z329"/>
  <c r="Z328"/>
  <c r="Z327"/>
  <c r="Z326"/>
  <c r="Z325"/>
  <c r="Z324"/>
  <c r="Z323"/>
  <c r="Z319"/>
  <c r="Z318"/>
  <c r="Z317"/>
  <c r="Z316"/>
  <c r="Z315"/>
  <c r="Z314"/>
  <c r="Z313"/>
  <c r="Z312"/>
  <c r="Z308"/>
  <c r="Z307"/>
  <c r="Z306"/>
  <c r="Z305"/>
  <c r="Z304"/>
  <c r="Z309" s="1"/>
  <c r="Z300"/>
  <c r="Z299"/>
  <c r="Z298"/>
  <c r="Z297"/>
  <c r="Z293"/>
  <c r="Z292"/>
  <c r="Z291"/>
  <c r="Z290"/>
  <c r="Z289"/>
  <c r="Z288"/>
  <c r="Z294" s="1"/>
  <c r="Z301" s="1"/>
  <c r="Z284"/>
  <c r="Z283"/>
  <c r="Z282"/>
  <c r="Z281"/>
  <c r="Z280"/>
  <c r="Z279"/>
  <c r="Z278"/>
  <c r="Z277"/>
  <c r="Z285" s="1"/>
  <c r="Z273"/>
  <c r="Z272"/>
  <c r="Z271"/>
  <c r="Z270"/>
  <c r="Z269"/>
  <c r="Z268"/>
  <c r="Z267"/>
  <c r="Z266"/>
  <c r="Z274" s="1"/>
  <c r="Z262"/>
  <c r="Z261"/>
  <c r="Z260"/>
  <c r="Z259"/>
  <c r="Z258"/>
  <c r="Z254"/>
  <c r="Z253"/>
  <c r="Z252"/>
  <c r="Z251"/>
  <c r="Z250"/>
  <c r="Z249"/>
  <c r="Z248"/>
  <c r="Z247"/>
  <c r="Z243"/>
  <c r="Z242"/>
  <c r="Z241"/>
  <c r="Z240"/>
  <c r="Z239"/>
  <c r="Z238"/>
  <c r="Z237"/>
  <c r="Z236"/>
  <c r="Z232"/>
  <c r="Z231"/>
  <c r="Z230"/>
  <c r="Z229"/>
  <c r="Z228"/>
  <c r="Z233" s="1"/>
  <c r="Z216"/>
  <c r="Z215"/>
  <c r="Z214"/>
  <c r="Z213"/>
  <c r="Z212"/>
  <c r="Z207"/>
  <c r="Z206"/>
  <c r="Z205"/>
  <c r="Z204"/>
  <c r="Z203"/>
  <c r="Z202"/>
  <c r="Z201"/>
  <c r="Z200"/>
  <c r="Z185"/>
  <c r="Z184"/>
  <c r="Z183"/>
  <c r="Z182"/>
  <c r="Z181"/>
  <c r="Z186" s="1"/>
  <c r="Z177"/>
  <c r="Z176"/>
  <c r="Z175"/>
  <c r="Z174"/>
  <c r="Z173"/>
  <c r="Z172"/>
  <c r="Z178" s="1"/>
  <c r="Z168"/>
  <c r="Z167"/>
  <c r="Z166"/>
  <c r="Z165"/>
  <c r="Z164"/>
  <c r="Z163"/>
  <c r="Z162"/>
  <c r="Z158"/>
  <c r="Z157"/>
  <c r="Z156"/>
  <c r="Z155"/>
  <c r="Z154"/>
  <c r="Z153"/>
  <c r="Z152"/>
  <c r="Z159" s="1"/>
  <c r="Z130"/>
  <c r="Z129"/>
  <c r="Z128"/>
  <c r="Z127"/>
  <c r="Z126"/>
  <c r="Z125"/>
  <c r="Z131" s="1"/>
  <c r="Z121"/>
  <c r="Z120"/>
  <c r="Z119"/>
  <c r="Z118"/>
  <c r="Z117"/>
  <c r="Z116"/>
  <c r="Z122" s="1"/>
  <c r="Z112"/>
  <c r="Z111"/>
  <c r="Z110"/>
  <c r="Z109"/>
  <c r="Z108"/>
  <c r="Z107"/>
  <c r="Z113" s="1"/>
  <c r="Z103"/>
  <c r="Z102"/>
  <c r="Z101"/>
  <c r="Z100"/>
  <c r="Z104" s="1"/>
  <c r="Z96"/>
  <c r="Z95"/>
  <c r="Z94"/>
  <c r="Z93"/>
  <c r="Z92"/>
  <c r="Z88"/>
  <c r="Z87"/>
  <c r="Z86"/>
  <c r="Z85"/>
  <c r="Z84"/>
  <c r="Z83"/>
  <c r="Z79"/>
  <c r="Z78"/>
  <c r="Z77"/>
  <c r="Z76"/>
  <c r="Z75"/>
  <c r="Z80" s="1"/>
  <c r="Z71"/>
  <c r="Z70"/>
  <c r="Z69"/>
  <c r="Z68"/>
  <c r="Z67"/>
  <c r="Z63"/>
  <c r="Z62"/>
  <c r="Z61"/>
  <c r="Z60"/>
  <c r="Z59"/>
  <c r="Z58"/>
  <c r="Z54"/>
  <c r="Z53"/>
  <c r="Z52"/>
  <c r="Z51"/>
  <c r="Z50"/>
  <c r="Z55" s="1"/>
  <c r="Z46"/>
  <c r="Z45"/>
  <c r="Z44"/>
  <c r="Z43"/>
  <c r="Z42"/>
  <c r="Z38"/>
  <c r="Z37"/>
  <c r="Z36"/>
  <c r="Z35"/>
  <c r="Z34"/>
  <c r="Z33"/>
  <c r="Z29"/>
  <c r="Z28"/>
  <c r="Z27"/>
  <c r="Z26"/>
  <c r="Z25"/>
  <c r="Z30" s="1"/>
  <c r="Z21"/>
  <c r="Z20"/>
  <c r="Z19"/>
  <c r="Z18"/>
  <c r="Z17"/>
  <c r="Z16"/>
  <c r="Z524" l="1"/>
  <c r="Z668"/>
  <c r="Z691"/>
  <c r="Z701"/>
  <c r="Z710"/>
  <c r="Z682"/>
  <c r="Z731"/>
  <c r="Z39"/>
  <c r="Z47"/>
  <c r="Z64"/>
  <c r="Z72"/>
  <c r="Z89"/>
  <c r="Z97"/>
  <c r="Z169"/>
  <c r="Z208"/>
  <c r="Z217"/>
  <c r="Z244"/>
  <c r="Z255"/>
  <c r="Z263"/>
  <c r="Z320"/>
  <c r="Z331"/>
  <c r="Z340"/>
  <c r="Z349"/>
  <c r="Z357"/>
  <c r="Z384"/>
  <c r="Z428"/>
  <c r="Z437"/>
  <c r="Z446"/>
  <c r="Z454"/>
  <c r="Z476"/>
  <c r="Z484"/>
  <c r="Z500"/>
  <c r="Z516"/>
  <c r="Z531"/>
  <c r="Z565"/>
  <c r="Z602"/>
  <c r="Z619"/>
  <c r="Z636"/>
  <c r="Z652"/>
  <c r="Z756"/>
  <c r="Z721"/>
  <c r="Z407"/>
  <c r="Z22"/>
  <c r="Z133" s="1"/>
  <c r="Z146" s="1"/>
  <c r="Z419"/>
  <c r="Z538" s="1"/>
  <c r="Z543" s="1"/>
  <c r="Z585"/>
  <c r="Z670" s="1"/>
  <c r="Z741"/>
  <c r="Z545" l="1"/>
  <c r="Z758" s="1"/>
  <c r="Y535" l="1"/>
  <c r="Y534"/>
  <c r="Y529"/>
  <c r="Y528"/>
  <c r="AB720"/>
  <c r="AB717"/>
  <c r="AB716"/>
  <c r="AB715"/>
  <c r="AB714"/>
  <c r="AB719"/>
  <c r="AB718"/>
  <c r="AB713"/>
  <c r="AB730"/>
  <c r="AB729"/>
  <c r="AB728"/>
  <c r="AB727"/>
  <c r="AB726"/>
  <c r="AB725"/>
  <c r="AB724"/>
  <c r="AB738"/>
  <c r="AB737"/>
  <c r="AB736"/>
  <c r="AB735"/>
  <c r="AB734"/>
  <c r="AB709"/>
  <c r="AB708"/>
  <c r="AB707"/>
  <c r="AB706"/>
  <c r="AB705"/>
  <c r="AB704"/>
  <c r="AB700"/>
  <c r="AB699"/>
  <c r="AB698"/>
  <c r="AB697"/>
  <c r="AB696"/>
  <c r="AB695"/>
  <c r="AB694"/>
  <c r="AB690"/>
  <c r="AB689"/>
  <c r="AB688"/>
  <c r="AB687"/>
  <c r="AB686"/>
  <c r="AB685"/>
  <c r="AB681"/>
  <c r="AB680"/>
  <c r="AB679"/>
  <c r="AB678"/>
  <c r="AB677"/>
  <c r="AB676"/>
  <c r="AB755" l="1"/>
  <c r="AB754"/>
  <c r="AB753"/>
  <c r="AB752"/>
  <c r="AB751"/>
  <c r="AB750"/>
  <c r="AB749"/>
  <c r="AB748"/>
  <c r="AB747"/>
  <c r="AB746"/>
  <c r="AB745"/>
  <c r="AB667"/>
  <c r="Y667"/>
  <c r="AB666"/>
  <c r="Y666"/>
  <c r="AB665"/>
  <c r="Y665"/>
  <c r="AB664"/>
  <c r="Y664"/>
  <c r="AB663"/>
  <c r="Y663"/>
  <c r="AB662"/>
  <c r="Y662"/>
  <c r="AB661"/>
  <c r="Y661"/>
  <c r="AB660"/>
  <c r="Y660"/>
  <c r="AB659"/>
  <c r="Y659"/>
  <c r="AB658"/>
  <c r="Y658"/>
  <c r="AB657"/>
  <c r="Y657"/>
  <c r="AB656"/>
  <c r="Y656"/>
  <c r="AB655"/>
  <c r="Y655"/>
  <c r="AB651"/>
  <c r="AB650"/>
  <c r="AB649"/>
  <c r="AB648"/>
  <c r="AB647"/>
  <c r="AB646"/>
  <c r="AB645"/>
  <c r="AB644"/>
  <c r="AB643"/>
  <c r="AB642"/>
  <c r="AB641"/>
  <c r="AB640"/>
  <c r="AB639"/>
  <c r="AB635"/>
  <c r="Y635"/>
  <c r="AB634"/>
  <c r="Y634"/>
  <c r="AB633"/>
  <c r="Y633"/>
  <c r="AB632"/>
  <c r="Y632"/>
  <c r="AB631"/>
  <c r="Y631"/>
  <c r="AB630"/>
  <c r="Y630"/>
  <c r="AB629"/>
  <c r="Y629"/>
  <c r="AB628"/>
  <c r="Y628"/>
  <c r="AB627"/>
  <c r="Y627"/>
  <c r="AB626"/>
  <c r="Y626"/>
  <c r="AB625"/>
  <c r="Y625"/>
  <c r="AB624"/>
  <c r="Y624"/>
  <c r="AB623"/>
  <c r="Y623"/>
  <c r="AB622"/>
  <c r="Y622"/>
  <c r="AB618"/>
  <c r="Y618"/>
  <c r="AB617"/>
  <c r="Y617"/>
  <c r="AB616"/>
  <c r="Y616"/>
  <c r="AB615"/>
  <c r="Y615"/>
  <c r="AB614"/>
  <c r="Y614"/>
  <c r="AB613"/>
  <c r="Y613"/>
  <c r="AB612"/>
  <c r="Y612"/>
  <c r="AB611"/>
  <c r="Y611"/>
  <c r="AB610"/>
  <c r="Y610"/>
  <c r="AB609"/>
  <c r="Y609"/>
  <c r="AB608"/>
  <c r="Y608"/>
  <c r="AB607"/>
  <c r="Y607"/>
  <c r="AB606"/>
  <c r="Y606"/>
  <c r="AB605"/>
  <c r="Y605"/>
  <c r="AB601"/>
  <c r="Y601"/>
  <c r="AB600"/>
  <c r="Y600"/>
  <c r="AB599"/>
  <c r="Y599"/>
  <c r="AB598"/>
  <c r="Y598"/>
  <c r="AB597"/>
  <c r="Y597"/>
  <c r="AB596"/>
  <c r="Y596"/>
  <c r="AB595"/>
  <c r="Y595"/>
  <c r="AB594"/>
  <c r="Y594"/>
  <c r="AB593"/>
  <c r="Y593"/>
  <c r="AB592"/>
  <c r="Y592"/>
  <c r="AB591"/>
  <c r="Y591"/>
  <c r="AB590"/>
  <c r="Y590"/>
  <c r="AB589"/>
  <c r="Y589"/>
  <c r="AB588"/>
  <c r="AB602" s="1"/>
  <c r="Y588"/>
  <c r="AB584"/>
  <c r="AB583"/>
  <c r="AB582"/>
  <c r="AB581"/>
  <c r="AB580"/>
  <c r="AB579"/>
  <c r="AB578"/>
  <c r="AB577"/>
  <c r="AB576"/>
  <c r="AB575"/>
  <c r="AB574"/>
  <c r="AB573"/>
  <c r="AB572"/>
  <c r="AB571"/>
  <c r="AB564"/>
  <c r="AB563"/>
  <c r="AB562"/>
  <c r="AB561"/>
  <c r="AB560"/>
  <c r="AB559"/>
  <c r="AB558"/>
  <c r="AB557"/>
  <c r="AB556"/>
  <c r="AB555"/>
  <c r="AB535"/>
  <c r="AB534"/>
  <c r="AB530"/>
  <c r="AB529"/>
  <c r="AB528"/>
  <c r="AB527"/>
  <c r="AB523"/>
  <c r="AB522"/>
  <c r="AB521"/>
  <c r="AB520"/>
  <c r="AB519"/>
  <c r="AB515"/>
  <c r="AB514"/>
  <c r="AB513"/>
  <c r="AB512"/>
  <c r="AB511"/>
  <c r="AB507"/>
  <c r="AB506"/>
  <c r="AB505"/>
  <c r="AB504"/>
  <c r="AB503"/>
  <c r="AB499"/>
  <c r="AB498"/>
  <c r="AB497"/>
  <c r="AB496"/>
  <c r="AB495"/>
  <c r="AB491"/>
  <c r="AB490"/>
  <c r="AB489"/>
  <c r="AB488"/>
  <c r="AB487"/>
  <c r="AB483"/>
  <c r="AB482"/>
  <c r="AB481"/>
  <c r="AB480"/>
  <c r="AB479"/>
  <c r="AB475"/>
  <c r="AB474"/>
  <c r="AB473"/>
  <c r="AB472"/>
  <c r="AB468"/>
  <c r="AB467"/>
  <c r="AB466"/>
  <c r="AB465"/>
  <c r="AB464"/>
  <c r="AB453"/>
  <c r="AB452"/>
  <c r="AB451"/>
  <c r="AB450"/>
  <c r="AB449"/>
  <c r="AB445"/>
  <c r="AB444"/>
  <c r="AB443"/>
  <c r="AB442"/>
  <c r="AB441"/>
  <c r="AB440"/>
  <c r="AB436"/>
  <c r="AB435"/>
  <c r="AB434"/>
  <c r="AB433"/>
  <c r="AB432"/>
  <c r="AB431"/>
  <c r="AB427"/>
  <c r="AB426"/>
  <c r="AB425"/>
  <c r="AB424"/>
  <c r="AB423"/>
  <c r="AB428" s="1"/>
  <c r="AB422"/>
  <c r="AB418"/>
  <c r="AB417"/>
  <c r="AB416"/>
  <c r="AB415"/>
  <c r="AB414"/>
  <c r="AB413"/>
  <c r="AB402"/>
  <c r="AB401"/>
  <c r="AB400"/>
  <c r="AB399"/>
  <c r="AB398"/>
  <c r="AB397"/>
  <c r="AB396"/>
  <c r="AB403" s="1"/>
  <c r="AB392"/>
  <c r="AB391"/>
  <c r="AB390"/>
  <c r="AB389"/>
  <c r="AB388"/>
  <c r="AB387"/>
  <c r="AB383"/>
  <c r="AB382"/>
  <c r="AB381"/>
  <c r="AB380"/>
  <c r="AB384" s="1"/>
  <c r="AB379"/>
  <c r="AB375"/>
  <c r="AB374"/>
  <c r="AB373"/>
  <c r="AB372"/>
  <c r="AB371"/>
  <c r="AB367"/>
  <c r="AB366"/>
  <c r="AB365"/>
  <c r="AB364"/>
  <c r="AB363"/>
  <c r="AB362"/>
  <c r="AB361"/>
  <c r="AB360"/>
  <c r="AB368" s="1"/>
  <c r="AB356"/>
  <c r="AB355"/>
  <c r="AB354"/>
  <c r="AB353"/>
  <c r="AB352"/>
  <c r="AB348"/>
  <c r="AB347"/>
  <c r="AB346"/>
  <c r="AB345"/>
  <c r="AB344"/>
  <c r="AB349" s="1"/>
  <c r="AB343"/>
  <c r="AB339"/>
  <c r="AB338"/>
  <c r="AB337"/>
  <c r="AB336"/>
  <c r="AB335"/>
  <c r="AB334"/>
  <c r="AB330"/>
  <c r="AB329"/>
  <c r="AB328"/>
  <c r="AB327"/>
  <c r="AB326"/>
  <c r="AB325"/>
  <c r="AB324"/>
  <c r="AB331" s="1"/>
  <c r="AB323"/>
  <c r="AB319"/>
  <c r="AB318"/>
  <c r="AB317"/>
  <c r="AB316"/>
  <c r="AB315"/>
  <c r="AB314"/>
  <c r="AB313"/>
  <c r="AB312"/>
  <c r="AB308"/>
  <c r="AB307"/>
  <c r="AB306"/>
  <c r="AB305"/>
  <c r="AB304"/>
  <c r="AB309" s="1"/>
  <c r="AB300"/>
  <c r="AB299"/>
  <c r="AB298"/>
  <c r="AB297"/>
  <c r="AB293"/>
  <c r="AB292"/>
  <c r="AB291"/>
  <c r="AB290"/>
  <c r="AB289"/>
  <c r="AB288"/>
  <c r="AB284"/>
  <c r="AB283"/>
  <c r="AB282"/>
  <c r="AB281"/>
  <c r="AB280"/>
  <c r="AB279"/>
  <c r="AB278"/>
  <c r="AB277"/>
  <c r="AB285" s="1"/>
  <c r="AB273"/>
  <c r="AB272"/>
  <c r="AB271"/>
  <c r="AB270"/>
  <c r="AB269"/>
  <c r="AB268"/>
  <c r="AB267"/>
  <c r="AB266"/>
  <c r="AB262"/>
  <c r="AB261"/>
  <c r="AB260"/>
  <c r="AB259"/>
  <c r="AB263" s="1"/>
  <c r="AB258"/>
  <c r="AB254"/>
  <c r="AB253"/>
  <c r="AB252"/>
  <c r="AB251"/>
  <c r="AB250"/>
  <c r="AB249"/>
  <c r="AB248"/>
  <c r="AB247"/>
  <c r="AB243"/>
  <c r="AB242"/>
  <c r="AB241"/>
  <c r="AB240"/>
  <c r="AB239"/>
  <c r="AB238"/>
  <c r="AB237"/>
  <c r="AB244" s="1"/>
  <c r="AB236"/>
  <c r="AB232"/>
  <c r="AB231"/>
  <c r="AB230"/>
  <c r="AB229"/>
  <c r="AB228"/>
  <c r="AB216"/>
  <c r="AB215"/>
  <c r="AB214"/>
  <c r="AB213"/>
  <c r="AB212"/>
  <c r="AB211"/>
  <c r="AB217" s="1"/>
  <c r="AB207"/>
  <c r="AB206"/>
  <c r="AB205"/>
  <c r="AB204"/>
  <c r="AB203"/>
  <c r="AB202"/>
  <c r="AB201"/>
  <c r="AB200"/>
  <c r="AB185"/>
  <c r="AB184"/>
  <c r="AB183"/>
  <c r="AB182"/>
  <c r="AB186" s="1"/>
  <c r="AB181"/>
  <c r="AB177"/>
  <c r="AB176"/>
  <c r="AB175"/>
  <c r="AB174"/>
  <c r="AB173"/>
  <c r="AB172"/>
  <c r="AB168"/>
  <c r="AB167"/>
  <c r="AB166"/>
  <c r="AB165"/>
  <c r="AB164"/>
  <c r="AB163"/>
  <c r="AB162"/>
  <c r="AB169" s="1"/>
  <c r="AB158"/>
  <c r="AB157"/>
  <c r="AB156"/>
  <c r="AB155"/>
  <c r="AB154"/>
  <c r="AB153"/>
  <c r="AB152"/>
  <c r="AB130"/>
  <c r="AB129"/>
  <c r="AB128"/>
  <c r="AB127"/>
  <c r="AB126"/>
  <c r="AB125"/>
  <c r="AB121"/>
  <c r="AB120"/>
  <c r="AB119"/>
  <c r="AB118"/>
  <c r="AB117"/>
  <c r="AB122" s="1"/>
  <c r="AB116"/>
  <c r="AB112"/>
  <c r="AB111"/>
  <c r="AB110"/>
  <c r="AB109"/>
  <c r="AB108"/>
  <c r="AB107"/>
  <c r="AB103"/>
  <c r="AB102"/>
  <c r="AB101"/>
  <c r="AB104" s="1"/>
  <c r="AB100"/>
  <c r="AB96"/>
  <c r="AB95"/>
  <c r="AB94"/>
  <c r="AB93"/>
  <c r="AB92"/>
  <c r="AB88"/>
  <c r="AB87"/>
  <c r="AB86"/>
  <c r="AB85"/>
  <c r="AB84"/>
  <c r="AB83"/>
  <c r="AB89" s="1"/>
  <c r="AB79"/>
  <c r="AB78"/>
  <c r="AB77"/>
  <c r="AB76"/>
  <c r="AB75"/>
  <c r="AB71"/>
  <c r="AB70"/>
  <c r="AB69"/>
  <c r="AB68"/>
  <c r="AB67"/>
  <c r="AB72" s="1"/>
  <c r="AB63"/>
  <c r="AB62"/>
  <c r="AB61"/>
  <c r="AB60"/>
  <c r="AB59"/>
  <c r="AB58"/>
  <c r="AB54"/>
  <c r="AB53"/>
  <c r="AB52"/>
  <c r="AB51"/>
  <c r="AB55" s="1"/>
  <c r="AB50"/>
  <c r="AB46"/>
  <c r="AB45"/>
  <c r="AB44"/>
  <c r="AB43"/>
  <c r="AB42"/>
  <c r="AB38"/>
  <c r="AB37"/>
  <c r="AB36"/>
  <c r="AB35"/>
  <c r="AB34"/>
  <c r="AB33"/>
  <c r="AB39" s="1"/>
  <c r="AB29"/>
  <c r="AB28"/>
  <c r="AB27"/>
  <c r="AB26"/>
  <c r="AB25"/>
  <c r="AB21"/>
  <c r="AB20"/>
  <c r="AB19"/>
  <c r="AB18"/>
  <c r="AB17"/>
  <c r="AB22" s="1"/>
  <c r="AB16"/>
  <c r="AB756"/>
  <c r="AB739"/>
  <c r="AB731"/>
  <c r="AB721"/>
  <c r="AB710"/>
  <c r="AB701"/>
  <c r="AB691"/>
  <c r="AB682"/>
  <c r="AB668"/>
  <c r="Y668"/>
  <c r="AB652"/>
  <c r="AB636"/>
  <c r="Y636"/>
  <c r="AB619"/>
  <c r="Y619"/>
  <c r="Y602"/>
  <c r="AB565"/>
  <c r="AB524"/>
  <c r="AB508"/>
  <c r="AB492"/>
  <c r="AB476"/>
  <c r="AB454"/>
  <c r="AB437"/>
  <c r="AB419"/>
  <c r="AB393"/>
  <c r="AB376"/>
  <c r="AB357"/>
  <c r="AB340"/>
  <c r="AB320"/>
  <c r="AB294"/>
  <c r="AB301" s="1"/>
  <c r="AB274"/>
  <c r="AB255"/>
  <c r="AB233"/>
  <c r="AB208"/>
  <c r="AB178"/>
  <c r="AB131"/>
  <c r="AB113"/>
  <c r="AB97"/>
  <c r="AB80"/>
  <c r="AB64"/>
  <c r="AB47"/>
  <c r="AB30"/>
  <c r="T625"/>
  <c r="AC625" s="1"/>
  <c r="T535"/>
  <c r="AC535" s="1"/>
  <c r="T534"/>
  <c r="AC534" s="1"/>
  <c r="T529"/>
  <c r="AC529" s="1"/>
  <c r="T528"/>
  <c r="AC528" s="1"/>
  <c r="T461"/>
  <c r="S756"/>
  <c r="S739"/>
  <c r="S731"/>
  <c r="S721"/>
  <c r="S710"/>
  <c r="S701"/>
  <c r="S691"/>
  <c r="S682"/>
  <c r="S668"/>
  <c r="S652"/>
  <c r="S636"/>
  <c r="S619"/>
  <c r="S602"/>
  <c r="S585"/>
  <c r="S565"/>
  <c r="S536"/>
  <c r="S531"/>
  <c r="S524"/>
  <c r="S516"/>
  <c r="S508"/>
  <c r="S500"/>
  <c r="S492"/>
  <c r="S484"/>
  <c r="S476"/>
  <c r="S469"/>
  <c r="S461"/>
  <c r="S454"/>
  <c r="S446"/>
  <c r="S437"/>
  <c r="S428"/>
  <c r="S419"/>
  <c r="S403"/>
  <c r="S393"/>
  <c r="S384"/>
  <c r="S376"/>
  <c r="S368"/>
  <c r="S357"/>
  <c r="S349"/>
  <c r="S340"/>
  <c r="S331"/>
  <c r="S320"/>
  <c r="S309"/>
  <c r="S294"/>
  <c r="S301" s="1"/>
  <c r="S285"/>
  <c r="S274"/>
  <c r="S263"/>
  <c r="S255"/>
  <c r="S244"/>
  <c r="S233"/>
  <c r="S217"/>
  <c r="S208"/>
  <c r="S186"/>
  <c r="S178"/>
  <c r="S169"/>
  <c r="S159"/>
  <c r="S131"/>
  <c r="S122"/>
  <c r="S113"/>
  <c r="S104"/>
  <c r="S97"/>
  <c r="S89"/>
  <c r="S80"/>
  <c r="S72"/>
  <c r="S64"/>
  <c r="S55"/>
  <c r="S47"/>
  <c r="S39"/>
  <c r="S30"/>
  <c r="S22"/>
  <c r="AB446" l="1"/>
  <c r="AB469"/>
  <c r="AB484"/>
  <c r="AB500"/>
  <c r="AB516"/>
  <c r="AB531"/>
  <c r="AB585"/>
  <c r="S407"/>
  <c r="S538"/>
  <c r="S741"/>
  <c r="T536"/>
  <c r="S133"/>
  <c r="AB159"/>
  <c r="S543"/>
  <c r="S670"/>
  <c r="AB741"/>
  <c r="AB670"/>
  <c r="AB538"/>
  <c r="AB543" s="1"/>
  <c r="AB407"/>
  <c r="AB133"/>
  <c r="S146"/>
  <c r="S545" s="1"/>
  <c r="S758" l="1"/>
  <c r="AB146"/>
  <c r="AB545" l="1"/>
  <c r="AB758" s="1"/>
  <c r="K445"/>
  <c r="K444"/>
  <c r="K443"/>
  <c r="K442"/>
  <c r="K441"/>
  <c r="K440"/>
  <c r="K436"/>
  <c r="K435"/>
  <c r="K434"/>
  <c r="K433"/>
  <c r="K432"/>
  <c r="K431"/>
  <c r="K427"/>
  <c r="K426"/>
  <c r="K425"/>
  <c r="K424"/>
  <c r="K423"/>
  <c r="K422"/>
  <c r="K418"/>
  <c r="K417"/>
  <c r="K416"/>
  <c r="K415"/>
  <c r="K414"/>
  <c r="K413"/>
  <c r="D530"/>
  <c r="D529"/>
  <c r="D528"/>
  <c r="D527"/>
  <c r="D523"/>
  <c r="D515"/>
  <c r="D507"/>
  <c r="D499"/>
  <c r="D491"/>
  <c r="D483"/>
  <c r="D468"/>
  <c r="D453"/>
  <c r="D449"/>
  <c r="D445"/>
  <c r="D444"/>
  <c r="D440"/>
  <c r="D436"/>
  <c r="D435"/>
  <c r="D431"/>
  <c r="D427"/>
  <c r="D426"/>
  <c r="D422"/>
  <c r="P756"/>
  <c r="P739"/>
  <c r="P731"/>
  <c r="P721"/>
  <c r="P710"/>
  <c r="P701"/>
  <c r="P691"/>
  <c r="P682"/>
  <c r="P741" s="1"/>
  <c r="P668"/>
  <c r="P652"/>
  <c r="P636"/>
  <c r="Q625"/>
  <c r="AA625" s="1"/>
  <c r="P619"/>
  <c r="P602"/>
  <c r="P585"/>
  <c r="P565"/>
  <c r="P536"/>
  <c r="Q535"/>
  <c r="AA535" s="1"/>
  <c r="Q534"/>
  <c r="P531"/>
  <c r="Q529"/>
  <c r="AA529" s="1"/>
  <c r="Q528"/>
  <c r="AA528" s="1"/>
  <c r="P524"/>
  <c r="P516"/>
  <c r="P508"/>
  <c r="P500"/>
  <c r="P492"/>
  <c r="P484"/>
  <c r="P476"/>
  <c r="P469"/>
  <c r="Q461"/>
  <c r="P461"/>
  <c r="P454"/>
  <c r="P446"/>
  <c r="P437"/>
  <c r="P428"/>
  <c r="P419"/>
  <c r="P403"/>
  <c r="P393"/>
  <c r="P384"/>
  <c r="P376"/>
  <c r="P368"/>
  <c r="P357"/>
  <c r="P349"/>
  <c r="P340"/>
  <c r="P331"/>
  <c r="P320"/>
  <c r="P309"/>
  <c r="P294"/>
  <c r="P301" s="1"/>
  <c r="P285"/>
  <c r="P274"/>
  <c r="P263"/>
  <c r="P255"/>
  <c r="P244"/>
  <c r="P233"/>
  <c r="P225"/>
  <c r="P217"/>
  <c r="P208"/>
  <c r="P197"/>
  <c r="P186"/>
  <c r="P178"/>
  <c r="P169"/>
  <c r="P159"/>
  <c r="P131"/>
  <c r="P122"/>
  <c r="P113"/>
  <c r="P104"/>
  <c r="P97"/>
  <c r="P89"/>
  <c r="P80"/>
  <c r="P72"/>
  <c r="P64"/>
  <c r="P55"/>
  <c r="P47"/>
  <c r="P39"/>
  <c r="P30"/>
  <c r="P22"/>
  <c r="G755"/>
  <c r="J755" s="1"/>
  <c r="M755" s="1"/>
  <c r="Q755" s="1"/>
  <c r="AA755" s="1"/>
  <c r="G754"/>
  <c r="J754" s="1"/>
  <c r="M754" s="1"/>
  <c r="Q754" s="1"/>
  <c r="AA754" s="1"/>
  <c r="G753"/>
  <c r="J753" s="1"/>
  <c r="M753" s="1"/>
  <c r="Q753" s="1"/>
  <c r="AA753" s="1"/>
  <c r="G752"/>
  <c r="J752" s="1"/>
  <c r="M752" s="1"/>
  <c r="Q752" s="1"/>
  <c r="AA752" s="1"/>
  <c r="G751"/>
  <c r="J751" s="1"/>
  <c r="M751" s="1"/>
  <c r="Q751" s="1"/>
  <c r="AA751" s="1"/>
  <c r="G750"/>
  <c r="J750" s="1"/>
  <c r="M750" s="1"/>
  <c r="Q750" s="1"/>
  <c r="AA750" s="1"/>
  <c r="G749"/>
  <c r="J749" s="1"/>
  <c r="M749" s="1"/>
  <c r="Q749" s="1"/>
  <c r="AA749" s="1"/>
  <c r="G748"/>
  <c r="J748" s="1"/>
  <c r="M748" s="1"/>
  <c r="Q748" s="1"/>
  <c r="AA748" s="1"/>
  <c r="G747"/>
  <c r="J747" s="1"/>
  <c r="M747" s="1"/>
  <c r="Q747" s="1"/>
  <c r="AA747" s="1"/>
  <c r="G746"/>
  <c r="J746" s="1"/>
  <c r="M746" s="1"/>
  <c r="G745"/>
  <c r="J745" s="1"/>
  <c r="M745" s="1"/>
  <c r="Q745" s="1"/>
  <c r="G738"/>
  <c r="J738" s="1"/>
  <c r="M738" s="1"/>
  <c r="G737"/>
  <c r="J737" s="1"/>
  <c r="M737" s="1"/>
  <c r="G736"/>
  <c r="J736" s="1"/>
  <c r="M736" s="1"/>
  <c r="G735"/>
  <c r="J735" s="1"/>
  <c r="M735" s="1"/>
  <c r="G734"/>
  <c r="J734" s="1"/>
  <c r="M734" s="1"/>
  <c r="G730"/>
  <c r="J730" s="1"/>
  <c r="M730" s="1"/>
  <c r="Q730" s="1"/>
  <c r="AA730" s="1"/>
  <c r="G729"/>
  <c r="J729" s="1"/>
  <c r="M729" s="1"/>
  <c r="Q729" s="1"/>
  <c r="AA729" s="1"/>
  <c r="G728"/>
  <c r="J728" s="1"/>
  <c r="M728" s="1"/>
  <c r="Q728" s="1"/>
  <c r="AA728" s="1"/>
  <c r="G727"/>
  <c r="J727" s="1"/>
  <c r="M727" s="1"/>
  <c r="G726"/>
  <c r="J726" s="1"/>
  <c r="M726" s="1"/>
  <c r="Q726" s="1"/>
  <c r="AA726" s="1"/>
  <c r="G725"/>
  <c r="J725" s="1"/>
  <c r="M725" s="1"/>
  <c r="G724"/>
  <c r="J724" s="1"/>
  <c r="M724" s="1"/>
  <c r="Q724" s="1"/>
  <c r="G720"/>
  <c r="J720" s="1"/>
  <c r="M720" s="1"/>
  <c r="G719"/>
  <c r="J719" s="1"/>
  <c r="M719" s="1"/>
  <c r="G718"/>
  <c r="J718" s="1"/>
  <c r="M718" s="1"/>
  <c r="G717"/>
  <c r="J717" s="1"/>
  <c r="M717" s="1"/>
  <c r="G716"/>
  <c r="J716" s="1"/>
  <c r="M716" s="1"/>
  <c r="G715"/>
  <c r="J715" s="1"/>
  <c r="M715" s="1"/>
  <c r="G714"/>
  <c r="J714" s="1"/>
  <c r="M714" s="1"/>
  <c r="G713"/>
  <c r="J713" s="1"/>
  <c r="M713" s="1"/>
  <c r="G709"/>
  <c r="J709" s="1"/>
  <c r="M709" s="1"/>
  <c r="Q709" s="1"/>
  <c r="AA709" s="1"/>
  <c r="G708"/>
  <c r="J708" s="1"/>
  <c r="M708" s="1"/>
  <c r="Q708" s="1"/>
  <c r="AA708" s="1"/>
  <c r="G707"/>
  <c r="J707" s="1"/>
  <c r="M707" s="1"/>
  <c r="G706"/>
  <c r="J706" s="1"/>
  <c r="M706" s="1"/>
  <c r="Q706" s="1"/>
  <c r="AA706" s="1"/>
  <c r="G705"/>
  <c r="J705" s="1"/>
  <c r="M705" s="1"/>
  <c r="G704"/>
  <c r="J704" s="1"/>
  <c r="M704" s="1"/>
  <c r="Q704" s="1"/>
  <c r="AA704" s="1"/>
  <c r="G700"/>
  <c r="J700" s="1"/>
  <c r="M700" s="1"/>
  <c r="G699"/>
  <c r="J699" s="1"/>
  <c r="M699" s="1"/>
  <c r="G698"/>
  <c r="J698" s="1"/>
  <c r="M698" s="1"/>
  <c r="G697"/>
  <c r="J697" s="1"/>
  <c r="M697" s="1"/>
  <c r="G696"/>
  <c r="J696" s="1"/>
  <c r="M696" s="1"/>
  <c r="G695"/>
  <c r="J695" s="1"/>
  <c r="M695" s="1"/>
  <c r="G694"/>
  <c r="J694" s="1"/>
  <c r="M694" s="1"/>
  <c r="G690"/>
  <c r="J690" s="1"/>
  <c r="M690" s="1"/>
  <c r="Q690" s="1"/>
  <c r="AA690" s="1"/>
  <c r="G689"/>
  <c r="J689" s="1"/>
  <c r="M689" s="1"/>
  <c r="Q689" s="1"/>
  <c r="AA689" s="1"/>
  <c r="G688"/>
  <c r="J688" s="1"/>
  <c r="M688" s="1"/>
  <c r="Q688" s="1"/>
  <c r="AA688" s="1"/>
  <c r="G687"/>
  <c r="J687" s="1"/>
  <c r="M687" s="1"/>
  <c r="G686"/>
  <c r="J686" s="1"/>
  <c r="M686" s="1"/>
  <c r="Q686" s="1"/>
  <c r="AA686" s="1"/>
  <c r="G685"/>
  <c r="J685" s="1"/>
  <c r="M685" s="1"/>
  <c r="G681"/>
  <c r="J681" s="1"/>
  <c r="M681" s="1"/>
  <c r="G680"/>
  <c r="J680" s="1"/>
  <c r="M680" s="1"/>
  <c r="G679"/>
  <c r="J679" s="1"/>
  <c r="M679" s="1"/>
  <c r="G678"/>
  <c r="J678" s="1"/>
  <c r="M678" s="1"/>
  <c r="G677"/>
  <c r="J677" s="1"/>
  <c r="M677" s="1"/>
  <c r="G676"/>
  <c r="J676" s="1"/>
  <c r="M676" s="1"/>
  <c r="G667"/>
  <c r="J667" s="1"/>
  <c r="M667" s="1"/>
  <c r="Q667" s="1"/>
  <c r="AA667" s="1"/>
  <c r="G666"/>
  <c r="G665"/>
  <c r="J665" s="1"/>
  <c r="M665" s="1"/>
  <c r="Q665" s="1"/>
  <c r="AA665" s="1"/>
  <c r="G664"/>
  <c r="J664" s="1"/>
  <c r="M664" s="1"/>
  <c r="G663"/>
  <c r="J663" s="1"/>
  <c r="M663" s="1"/>
  <c r="Q663" s="1"/>
  <c r="AA663" s="1"/>
  <c r="G662"/>
  <c r="J662" s="1"/>
  <c r="M662" s="1"/>
  <c r="G661"/>
  <c r="J661" s="1"/>
  <c r="M661" s="1"/>
  <c r="Q661" s="1"/>
  <c r="AA661" s="1"/>
  <c r="G660"/>
  <c r="J660" s="1"/>
  <c r="M660" s="1"/>
  <c r="G659"/>
  <c r="J659" s="1"/>
  <c r="M659" s="1"/>
  <c r="Q659" s="1"/>
  <c r="AA659" s="1"/>
  <c r="G658"/>
  <c r="J658" s="1"/>
  <c r="M658" s="1"/>
  <c r="G657"/>
  <c r="J657" s="1"/>
  <c r="M657" s="1"/>
  <c r="Q657" s="1"/>
  <c r="AA657" s="1"/>
  <c r="G656"/>
  <c r="J656" s="1"/>
  <c r="M656" s="1"/>
  <c r="Q656" s="1"/>
  <c r="AA656" s="1"/>
  <c r="G655"/>
  <c r="J655" s="1"/>
  <c r="M655" s="1"/>
  <c r="Q655" s="1"/>
  <c r="J666"/>
  <c r="M666" s="1"/>
  <c r="G651"/>
  <c r="J651" s="1"/>
  <c r="M651" s="1"/>
  <c r="Q651" s="1"/>
  <c r="AA651" s="1"/>
  <c r="G650"/>
  <c r="J650" s="1"/>
  <c r="M650" s="1"/>
  <c r="Q650" s="1"/>
  <c r="AA650" s="1"/>
  <c r="G649"/>
  <c r="J649" s="1"/>
  <c r="M649" s="1"/>
  <c r="Q649" s="1"/>
  <c r="AA649" s="1"/>
  <c r="G648"/>
  <c r="J648" s="1"/>
  <c r="M648" s="1"/>
  <c r="G647"/>
  <c r="J647" s="1"/>
  <c r="M647" s="1"/>
  <c r="G646"/>
  <c r="J646" s="1"/>
  <c r="M646" s="1"/>
  <c r="G645"/>
  <c r="J645" s="1"/>
  <c r="M645" s="1"/>
  <c r="Q645" s="1"/>
  <c r="AA645" s="1"/>
  <c r="G644"/>
  <c r="J644" s="1"/>
  <c r="M644" s="1"/>
  <c r="G643"/>
  <c r="J643" s="1"/>
  <c r="M643" s="1"/>
  <c r="Q643" s="1"/>
  <c r="AA643" s="1"/>
  <c r="G642"/>
  <c r="J642" s="1"/>
  <c r="M642" s="1"/>
  <c r="G641"/>
  <c r="J641" s="1"/>
  <c r="M641" s="1"/>
  <c r="Q641" s="1"/>
  <c r="AA641" s="1"/>
  <c r="G640"/>
  <c r="J640" s="1"/>
  <c r="M640" s="1"/>
  <c r="Q640" s="1"/>
  <c r="AA640" s="1"/>
  <c r="G639"/>
  <c r="J639" s="1"/>
  <c r="M639" s="1"/>
  <c r="Q639" s="1"/>
  <c r="AA639" s="1"/>
  <c r="G635"/>
  <c r="J635" s="1"/>
  <c r="M635" s="1"/>
  <c r="G634"/>
  <c r="J634" s="1"/>
  <c r="M634" s="1"/>
  <c r="G633"/>
  <c r="J633" s="1"/>
  <c r="M633" s="1"/>
  <c r="G632"/>
  <c r="J632" s="1"/>
  <c r="M632" s="1"/>
  <c r="G631"/>
  <c r="J631" s="1"/>
  <c r="M631" s="1"/>
  <c r="G630"/>
  <c r="J630" s="1"/>
  <c r="M630" s="1"/>
  <c r="G629"/>
  <c r="J629" s="1"/>
  <c r="M629" s="1"/>
  <c r="G628"/>
  <c r="J628" s="1"/>
  <c r="M628" s="1"/>
  <c r="G627"/>
  <c r="J627" s="1"/>
  <c r="M627" s="1"/>
  <c r="G626"/>
  <c r="J626" s="1"/>
  <c r="M626" s="1"/>
  <c r="G625"/>
  <c r="J625" s="1"/>
  <c r="G624"/>
  <c r="J624" s="1"/>
  <c r="M624" s="1"/>
  <c r="G623"/>
  <c r="J623" s="1"/>
  <c r="M623" s="1"/>
  <c r="G622"/>
  <c r="J622" s="1"/>
  <c r="M622" s="1"/>
  <c r="G618"/>
  <c r="J618" s="1"/>
  <c r="M618" s="1"/>
  <c r="Q618" s="1"/>
  <c r="AA618" s="1"/>
  <c r="G617"/>
  <c r="J617" s="1"/>
  <c r="M617" s="1"/>
  <c r="Q617" s="1"/>
  <c r="AA617" s="1"/>
  <c r="G616"/>
  <c r="J616" s="1"/>
  <c r="M616" s="1"/>
  <c r="G615"/>
  <c r="J615" s="1"/>
  <c r="M615" s="1"/>
  <c r="Q615" s="1"/>
  <c r="AA615" s="1"/>
  <c r="G614"/>
  <c r="J614" s="1"/>
  <c r="M614" s="1"/>
  <c r="Q614" s="1"/>
  <c r="AA614" s="1"/>
  <c r="G613"/>
  <c r="J613" s="1"/>
  <c r="M613" s="1"/>
  <c r="Q613" s="1"/>
  <c r="AA613" s="1"/>
  <c r="G612"/>
  <c r="J612" s="1"/>
  <c r="M612" s="1"/>
  <c r="G611"/>
  <c r="J611" s="1"/>
  <c r="M611" s="1"/>
  <c r="Q611" s="1"/>
  <c r="AA611" s="1"/>
  <c r="G610"/>
  <c r="J610" s="1"/>
  <c r="M610" s="1"/>
  <c r="Q610" s="1"/>
  <c r="AA610" s="1"/>
  <c r="G609"/>
  <c r="J609" s="1"/>
  <c r="M609" s="1"/>
  <c r="Q609" s="1"/>
  <c r="AA609" s="1"/>
  <c r="G608"/>
  <c r="J608" s="1"/>
  <c r="M608" s="1"/>
  <c r="G607"/>
  <c r="J607" s="1"/>
  <c r="M607" s="1"/>
  <c r="Q607" s="1"/>
  <c r="AA607" s="1"/>
  <c r="G606"/>
  <c r="J606" s="1"/>
  <c r="M606" s="1"/>
  <c r="Q606" s="1"/>
  <c r="AA606" s="1"/>
  <c r="G605"/>
  <c r="J605" s="1"/>
  <c r="M605" s="1"/>
  <c r="Q605" s="1"/>
  <c r="G601"/>
  <c r="J601" s="1"/>
  <c r="M601" s="1"/>
  <c r="G600"/>
  <c r="J600" s="1"/>
  <c r="M600" s="1"/>
  <c r="G599"/>
  <c r="J599" s="1"/>
  <c r="M599" s="1"/>
  <c r="G598"/>
  <c r="J598" s="1"/>
  <c r="M598" s="1"/>
  <c r="G597"/>
  <c r="J597" s="1"/>
  <c r="M597" s="1"/>
  <c r="G596"/>
  <c r="J596" s="1"/>
  <c r="M596" s="1"/>
  <c r="G595"/>
  <c r="J595" s="1"/>
  <c r="M595" s="1"/>
  <c r="G594"/>
  <c r="J594" s="1"/>
  <c r="M594" s="1"/>
  <c r="G593"/>
  <c r="J593" s="1"/>
  <c r="M593" s="1"/>
  <c r="G592"/>
  <c r="J592" s="1"/>
  <c r="M592" s="1"/>
  <c r="G591"/>
  <c r="J591" s="1"/>
  <c r="M591" s="1"/>
  <c r="G590"/>
  <c r="J590" s="1"/>
  <c r="M590" s="1"/>
  <c r="G589"/>
  <c r="J589" s="1"/>
  <c r="M589" s="1"/>
  <c r="G588"/>
  <c r="J588" s="1"/>
  <c r="M588" s="1"/>
  <c r="G584"/>
  <c r="J584" s="1"/>
  <c r="M584" s="1"/>
  <c r="G583"/>
  <c r="J583" s="1"/>
  <c r="M583" s="1"/>
  <c r="Q583" s="1"/>
  <c r="AA583" s="1"/>
  <c r="G582"/>
  <c r="J582" s="1"/>
  <c r="M582" s="1"/>
  <c r="Q582" s="1"/>
  <c r="AA582" s="1"/>
  <c r="G581"/>
  <c r="J581" s="1"/>
  <c r="M581" s="1"/>
  <c r="Q581" s="1"/>
  <c r="AA581" s="1"/>
  <c r="G580"/>
  <c r="J580" s="1"/>
  <c r="M580" s="1"/>
  <c r="G579"/>
  <c r="J579" s="1"/>
  <c r="M579" s="1"/>
  <c r="Q579" s="1"/>
  <c r="AA579" s="1"/>
  <c r="G578"/>
  <c r="J578" s="1"/>
  <c r="M578" s="1"/>
  <c r="Q578" s="1"/>
  <c r="AA578" s="1"/>
  <c r="G577"/>
  <c r="J577" s="1"/>
  <c r="M577" s="1"/>
  <c r="Q577" s="1"/>
  <c r="AA577" s="1"/>
  <c r="G576"/>
  <c r="J576" s="1"/>
  <c r="M576" s="1"/>
  <c r="G575"/>
  <c r="J575" s="1"/>
  <c r="M575" s="1"/>
  <c r="Q575" s="1"/>
  <c r="AA575" s="1"/>
  <c r="G574"/>
  <c r="J574" s="1"/>
  <c r="M574" s="1"/>
  <c r="G573"/>
  <c r="J573" s="1"/>
  <c r="M573" s="1"/>
  <c r="Q573" s="1"/>
  <c r="AA573" s="1"/>
  <c r="G572"/>
  <c r="J572" s="1"/>
  <c r="M572" s="1"/>
  <c r="Q572" s="1"/>
  <c r="AA572" s="1"/>
  <c r="G571"/>
  <c r="J571" s="1"/>
  <c r="M571" s="1"/>
  <c r="Q571" s="1"/>
  <c r="AA571" s="1"/>
  <c r="G564"/>
  <c r="J564" s="1"/>
  <c r="M564" s="1"/>
  <c r="G563"/>
  <c r="J563" s="1"/>
  <c r="M563" s="1"/>
  <c r="G562"/>
  <c r="J562" s="1"/>
  <c r="M562" s="1"/>
  <c r="Q562" s="1"/>
  <c r="AA562" s="1"/>
  <c r="G561"/>
  <c r="J561" s="1"/>
  <c r="M561" s="1"/>
  <c r="G560"/>
  <c r="J560" s="1"/>
  <c r="M560" s="1"/>
  <c r="G559"/>
  <c r="J559" s="1"/>
  <c r="M559" s="1"/>
  <c r="G558"/>
  <c r="J558" s="1"/>
  <c r="M558" s="1"/>
  <c r="Q558" s="1"/>
  <c r="AA558" s="1"/>
  <c r="G557"/>
  <c r="J557" s="1"/>
  <c r="M557" s="1"/>
  <c r="Q557" s="1"/>
  <c r="AA557" s="1"/>
  <c r="G556"/>
  <c r="J556" s="1"/>
  <c r="M556" s="1"/>
  <c r="G555"/>
  <c r="J555" s="1"/>
  <c r="M555" s="1"/>
  <c r="Q555" s="1"/>
  <c r="AA555" s="1"/>
  <c r="P407" l="1"/>
  <c r="P670"/>
  <c r="N662"/>
  <c r="T662"/>
  <c r="AC662" s="1"/>
  <c r="Q662"/>
  <c r="AA662" s="1"/>
  <c r="N556"/>
  <c r="Y556"/>
  <c r="T556"/>
  <c r="AC556" s="1"/>
  <c r="N560"/>
  <c r="Y560"/>
  <c r="T560"/>
  <c r="AC560" s="1"/>
  <c r="N564"/>
  <c r="Y564"/>
  <c r="T564"/>
  <c r="AC564" s="1"/>
  <c r="N574"/>
  <c r="Y574"/>
  <c r="T574"/>
  <c r="AC574" s="1"/>
  <c r="N576"/>
  <c r="Y576"/>
  <c r="T576"/>
  <c r="AC576" s="1"/>
  <c r="N580"/>
  <c r="Y580"/>
  <c r="T580"/>
  <c r="AC580" s="1"/>
  <c r="N584"/>
  <c r="Y584"/>
  <c r="T584"/>
  <c r="AC584" s="1"/>
  <c r="N591"/>
  <c r="T591"/>
  <c r="AC591" s="1"/>
  <c r="N595"/>
  <c r="T595"/>
  <c r="AC595" s="1"/>
  <c r="N597"/>
  <c r="T597"/>
  <c r="AC597" s="1"/>
  <c r="N601"/>
  <c r="T601"/>
  <c r="AC601" s="1"/>
  <c r="N608"/>
  <c r="T608"/>
  <c r="AC608" s="1"/>
  <c r="N612"/>
  <c r="T612"/>
  <c r="AC612" s="1"/>
  <c r="N616"/>
  <c r="T616"/>
  <c r="AC616" s="1"/>
  <c r="N623"/>
  <c r="T623"/>
  <c r="AC623" s="1"/>
  <c r="N627"/>
  <c r="T627"/>
  <c r="AC627" s="1"/>
  <c r="N631"/>
  <c r="T631"/>
  <c r="AC631" s="1"/>
  <c r="N635"/>
  <c r="T635"/>
  <c r="AC635" s="1"/>
  <c r="N642"/>
  <c r="Y642"/>
  <c r="T642"/>
  <c r="AC642" s="1"/>
  <c r="N644"/>
  <c r="Y644"/>
  <c r="T644"/>
  <c r="AC644" s="1"/>
  <c r="N648"/>
  <c r="Y648"/>
  <c r="T648"/>
  <c r="AC648" s="1"/>
  <c r="N658"/>
  <c r="T658"/>
  <c r="AC658" s="1"/>
  <c r="N666"/>
  <c r="T666"/>
  <c r="AC666" s="1"/>
  <c r="N660"/>
  <c r="T660"/>
  <c r="AC660" s="1"/>
  <c r="N664"/>
  <c r="T664"/>
  <c r="AC664" s="1"/>
  <c r="N678"/>
  <c r="Y678"/>
  <c r="T678"/>
  <c r="AC678" s="1"/>
  <c r="N685"/>
  <c r="Y685"/>
  <c r="T685"/>
  <c r="N687"/>
  <c r="Y687"/>
  <c r="T687"/>
  <c r="AC687" s="1"/>
  <c r="N694"/>
  <c r="Y694"/>
  <c r="T694"/>
  <c r="N698"/>
  <c r="Y698"/>
  <c r="T698"/>
  <c r="AC698" s="1"/>
  <c r="N705"/>
  <c r="Y705"/>
  <c r="T705"/>
  <c r="AC705" s="1"/>
  <c r="N707"/>
  <c r="Y707"/>
  <c r="T707"/>
  <c r="AC707" s="1"/>
  <c r="N714"/>
  <c r="Y714"/>
  <c r="T714"/>
  <c r="AC714" s="1"/>
  <c r="N718"/>
  <c r="Y718"/>
  <c r="T718"/>
  <c r="AC718" s="1"/>
  <c r="N725"/>
  <c r="Y725"/>
  <c r="T725"/>
  <c r="AC725" s="1"/>
  <c r="N727"/>
  <c r="Y727"/>
  <c r="T727"/>
  <c r="AC727" s="1"/>
  <c r="N734"/>
  <c r="Y734"/>
  <c r="T734"/>
  <c r="N746"/>
  <c r="Y746"/>
  <c r="T746"/>
  <c r="N555"/>
  <c r="Y555"/>
  <c r="T555"/>
  <c r="N557"/>
  <c r="Y557"/>
  <c r="T557"/>
  <c r="AC557" s="1"/>
  <c r="N559"/>
  <c r="Y559"/>
  <c r="T559"/>
  <c r="AC559" s="1"/>
  <c r="N561"/>
  <c r="Y561"/>
  <c r="T561"/>
  <c r="AC561" s="1"/>
  <c r="N563"/>
  <c r="Y563"/>
  <c r="T563"/>
  <c r="AC563" s="1"/>
  <c r="N571"/>
  <c r="Y571"/>
  <c r="T571"/>
  <c r="N573"/>
  <c r="Y573"/>
  <c r="T573"/>
  <c r="AC573" s="1"/>
  <c r="N575"/>
  <c r="Y575"/>
  <c r="T575"/>
  <c r="AC575" s="1"/>
  <c r="N577"/>
  <c r="Y577"/>
  <c r="T577"/>
  <c r="AC577" s="1"/>
  <c r="N579"/>
  <c r="Y579"/>
  <c r="T579"/>
  <c r="AC579" s="1"/>
  <c r="N581"/>
  <c r="Y581"/>
  <c r="T581"/>
  <c r="AC581" s="1"/>
  <c r="N583"/>
  <c r="Y583"/>
  <c r="T583"/>
  <c r="AC583" s="1"/>
  <c r="N588"/>
  <c r="T588"/>
  <c r="N590"/>
  <c r="T590"/>
  <c r="AC590" s="1"/>
  <c r="N592"/>
  <c r="T592"/>
  <c r="AC592" s="1"/>
  <c r="N594"/>
  <c r="T594"/>
  <c r="AC594" s="1"/>
  <c r="N596"/>
  <c r="T596"/>
  <c r="AC596" s="1"/>
  <c r="N598"/>
  <c r="T598"/>
  <c r="AC598" s="1"/>
  <c r="N600"/>
  <c r="T600"/>
  <c r="AC600" s="1"/>
  <c r="N605"/>
  <c r="T605"/>
  <c r="N607"/>
  <c r="T607"/>
  <c r="AC607" s="1"/>
  <c r="N609"/>
  <c r="T609"/>
  <c r="AC609" s="1"/>
  <c r="N611"/>
  <c r="T611"/>
  <c r="AC611" s="1"/>
  <c r="N613"/>
  <c r="T613"/>
  <c r="AC613" s="1"/>
  <c r="N615"/>
  <c r="T615"/>
  <c r="AC615" s="1"/>
  <c r="N617"/>
  <c r="T617"/>
  <c r="AC617" s="1"/>
  <c r="N622"/>
  <c r="T622"/>
  <c r="N624"/>
  <c r="T624"/>
  <c r="AC624" s="1"/>
  <c r="N626"/>
  <c r="T626"/>
  <c r="AC626" s="1"/>
  <c r="N628"/>
  <c r="T628"/>
  <c r="AC628" s="1"/>
  <c r="N630"/>
  <c r="T630"/>
  <c r="AC630" s="1"/>
  <c r="N632"/>
  <c r="T632"/>
  <c r="AC632" s="1"/>
  <c r="N634"/>
  <c r="T634"/>
  <c r="AC634" s="1"/>
  <c r="N639"/>
  <c r="Y639"/>
  <c r="T639"/>
  <c r="N641"/>
  <c r="Y641"/>
  <c r="T641"/>
  <c r="AC641" s="1"/>
  <c r="N643"/>
  <c r="Y643"/>
  <c r="T643"/>
  <c r="AC643" s="1"/>
  <c r="N645"/>
  <c r="Y645"/>
  <c r="T645"/>
  <c r="AC645" s="1"/>
  <c r="N647"/>
  <c r="Y647"/>
  <c r="T647"/>
  <c r="AC647" s="1"/>
  <c r="N649"/>
  <c r="Y649"/>
  <c r="T649"/>
  <c r="AC649" s="1"/>
  <c r="N651"/>
  <c r="Y651"/>
  <c r="T651"/>
  <c r="AC651" s="1"/>
  <c r="N655"/>
  <c r="T655"/>
  <c r="N657"/>
  <c r="T657"/>
  <c r="AC657" s="1"/>
  <c r="N659"/>
  <c r="T659"/>
  <c r="AC659" s="1"/>
  <c r="N661"/>
  <c r="T661"/>
  <c r="AC661" s="1"/>
  <c r="N663"/>
  <c r="T663"/>
  <c r="AC663" s="1"/>
  <c r="N665"/>
  <c r="T665"/>
  <c r="AC665" s="1"/>
  <c r="N667"/>
  <c r="T667"/>
  <c r="AC667" s="1"/>
  <c r="N677"/>
  <c r="Y677"/>
  <c r="T677"/>
  <c r="AC677" s="1"/>
  <c r="N679"/>
  <c r="Y679"/>
  <c r="T679"/>
  <c r="AC679" s="1"/>
  <c r="N681"/>
  <c r="Y681"/>
  <c r="T681"/>
  <c r="AC681" s="1"/>
  <c r="N686"/>
  <c r="Y686"/>
  <c r="T686"/>
  <c r="AC686" s="1"/>
  <c r="N688"/>
  <c r="Y688"/>
  <c r="T688"/>
  <c r="AC688" s="1"/>
  <c r="N690"/>
  <c r="Y690"/>
  <c r="T690"/>
  <c r="AC690" s="1"/>
  <c r="N695"/>
  <c r="Y695"/>
  <c r="T695"/>
  <c r="AC695" s="1"/>
  <c r="N697"/>
  <c r="Y697"/>
  <c r="T697"/>
  <c r="AC697" s="1"/>
  <c r="N699"/>
  <c r="Y699"/>
  <c r="T699"/>
  <c r="AC699" s="1"/>
  <c r="N704"/>
  <c r="Y704"/>
  <c r="T704"/>
  <c r="N706"/>
  <c r="Y706"/>
  <c r="T706"/>
  <c r="AC706" s="1"/>
  <c r="N708"/>
  <c r="Y708"/>
  <c r="T708"/>
  <c r="AC708" s="1"/>
  <c r="N713"/>
  <c r="Y713"/>
  <c r="T713"/>
  <c r="N715"/>
  <c r="Y715"/>
  <c r="T715"/>
  <c r="AC715" s="1"/>
  <c r="N717"/>
  <c r="Y717"/>
  <c r="T717"/>
  <c r="AC717" s="1"/>
  <c r="N719"/>
  <c r="Y719"/>
  <c r="T719"/>
  <c r="AC719" s="1"/>
  <c r="N724"/>
  <c r="Y724"/>
  <c r="T724"/>
  <c r="N726"/>
  <c r="Y726"/>
  <c r="T726"/>
  <c r="AC726" s="1"/>
  <c r="N728"/>
  <c r="Y728"/>
  <c r="T728"/>
  <c r="AC728" s="1"/>
  <c r="N730"/>
  <c r="Y730"/>
  <c r="T730"/>
  <c r="AC730" s="1"/>
  <c r="N735"/>
  <c r="Y735"/>
  <c r="T735"/>
  <c r="AC735" s="1"/>
  <c r="N737"/>
  <c r="Y737"/>
  <c r="T737"/>
  <c r="AC737" s="1"/>
  <c r="N745"/>
  <c r="Y745"/>
  <c r="T745"/>
  <c r="AC745" s="1"/>
  <c r="N747"/>
  <c r="Y747"/>
  <c r="T747"/>
  <c r="AC747" s="1"/>
  <c r="N749"/>
  <c r="Y749"/>
  <c r="T749"/>
  <c r="AC749" s="1"/>
  <c r="N751"/>
  <c r="Y751"/>
  <c r="T751"/>
  <c r="AC751" s="1"/>
  <c r="N753"/>
  <c r="Y753"/>
  <c r="T753"/>
  <c r="AC753" s="1"/>
  <c r="N755"/>
  <c r="Y755"/>
  <c r="T755"/>
  <c r="AC755" s="1"/>
  <c r="Q536"/>
  <c r="AA534"/>
  <c r="Q564"/>
  <c r="AA564" s="1"/>
  <c r="Q556"/>
  <c r="AA556" s="1"/>
  <c r="Q563"/>
  <c r="AA563" s="1"/>
  <c r="Q574"/>
  <c r="AA574" s="1"/>
  <c r="Q576"/>
  <c r="AA576" s="1"/>
  <c r="Q580"/>
  <c r="AA580" s="1"/>
  <c r="Q584"/>
  <c r="AA584" s="1"/>
  <c r="Q588"/>
  <c r="Q590"/>
  <c r="AA590" s="1"/>
  <c r="Q592"/>
  <c r="AA592" s="1"/>
  <c r="Q594"/>
  <c r="AA594" s="1"/>
  <c r="Q596"/>
  <c r="AA596" s="1"/>
  <c r="Q598"/>
  <c r="AA598" s="1"/>
  <c r="Q600"/>
  <c r="AA600" s="1"/>
  <c r="Q608"/>
  <c r="AA608" s="1"/>
  <c r="Q612"/>
  <c r="AA612" s="1"/>
  <c r="Q616"/>
  <c r="AA616" s="1"/>
  <c r="Q622"/>
  <c r="Q624"/>
  <c r="AA624" s="1"/>
  <c r="Q626"/>
  <c r="AA626" s="1"/>
  <c r="Q628"/>
  <c r="AA628" s="1"/>
  <c r="Q630"/>
  <c r="AA630" s="1"/>
  <c r="Q632"/>
  <c r="AA632" s="1"/>
  <c r="Q634"/>
  <c r="AA634" s="1"/>
  <c r="Q642"/>
  <c r="AA642" s="1"/>
  <c r="Q644"/>
  <c r="AA644" s="1"/>
  <c r="Q648"/>
  <c r="AA648" s="1"/>
  <c r="Q658"/>
  <c r="AA658" s="1"/>
  <c r="Q660"/>
  <c r="AA660" s="1"/>
  <c r="Q664"/>
  <c r="AA664" s="1"/>
  <c r="Q666"/>
  <c r="AA666" s="1"/>
  <c r="Q677"/>
  <c r="AA677" s="1"/>
  <c r="Q679"/>
  <c r="AA679" s="1"/>
  <c r="Q681"/>
  <c r="AA681" s="1"/>
  <c r="Q685"/>
  <c r="Q687"/>
  <c r="AA687" s="1"/>
  <c r="Q695"/>
  <c r="AA695" s="1"/>
  <c r="Q697"/>
  <c r="AA697" s="1"/>
  <c r="Q699"/>
  <c r="AA699" s="1"/>
  <c r="Q705"/>
  <c r="Q707"/>
  <c r="AA707" s="1"/>
  <c r="Q713"/>
  <c r="AA713" s="1"/>
  <c r="Q715"/>
  <c r="AA715" s="1"/>
  <c r="Q717"/>
  <c r="AA717" s="1"/>
  <c r="Q719"/>
  <c r="AA719" s="1"/>
  <c r="Q725"/>
  <c r="AA725" s="1"/>
  <c r="Q727"/>
  <c r="AA727" s="1"/>
  <c r="Q735"/>
  <c r="AA735" s="1"/>
  <c r="Q737"/>
  <c r="AA737" s="1"/>
  <c r="Q746"/>
  <c r="AA746" s="1"/>
  <c r="N558"/>
  <c r="Y558"/>
  <c r="T558"/>
  <c r="AC558" s="1"/>
  <c r="N562"/>
  <c r="Y562"/>
  <c r="T562"/>
  <c r="AC562" s="1"/>
  <c r="N572"/>
  <c r="Y572"/>
  <c r="T572"/>
  <c r="N578"/>
  <c r="Y578"/>
  <c r="T578"/>
  <c r="AC578" s="1"/>
  <c r="N582"/>
  <c r="Y582"/>
  <c r="T582"/>
  <c r="AC582" s="1"/>
  <c r="N589"/>
  <c r="T589"/>
  <c r="AC589" s="1"/>
  <c r="N593"/>
  <c r="T593"/>
  <c r="AC593" s="1"/>
  <c r="N599"/>
  <c r="T599"/>
  <c r="AC599" s="1"/>
  <c r="N606"/>
  <c r="T606"/>
  <c r="AC606" s="1"/>
  <c r="N610"/>
  <c r="T610"/>
  <c r="AC610" s="1"/>
  <c r="N614"/>
  <c r="T614"/>
  <c r="AC614" s="1"/>
  <c r="N618"/>
  <c r="T618"/>
  <c r="AC618" s="1"/>
  <c r="N629"/>
  <c r="T629"/>
  <c r="AC629" s="1"/>
  <c r="N633"/>
  <c r="T633"/>
  <c r="AC633" s="1"/>
  <c r="N640"/>
  <c r="Y640"/>
  <c r="T640"/>
  <c r="AC640" s="1"/>
  <c r="N646"/>
  <c r="Y646"/>
  <c r="T646"/>
  <c r="AC646" s="1"/>
  <c r="N650"/>
  <c r="Y650"/>
  <c r="T650"/>
  <c r="AC650" s="1"/>
  <c r="N656"/>
  <c r="T656"/>
  <c r="AC656" s="1"/>
  <c r="N676"/>
  <c r="Y676"/>
  <c r="T676"/>
  <c r="N680"/>
  <c r="Y680"/>
  <c r="T680"/>
  <c r="AC680" s="1"/>
  <c r="N689"/>
  <c r="Y689"/>
  <c r="T689"/>
  <c r="AC689" s="1"/>
  <c r="N696"/>
  <c r="Y696"/>
  <c r="T696"/>
  <c r="AC696" s="1"/>
  <c r="N700"/>
  <c r="Y700"/>
  <c r="T700"/>
  <c r="AC700" s="1"/>
  <c r="N709"/>
  <c r="Y709"/>
  <c r="T709"/>
  <c r="AC709" s="1"/>
  <c r="N716"/>
  <c r="Y716"/>
  <c r="T716"/>
  <c r="AC716" s="1"/>
  <c r="N720"/>
  <c r="Y720"/>
  <c r="T720"/>
  <c r="AC720" s="1"/>
  <c r="N729"/>
  <c r="Y729"/>
  <c r="T729"/>
  <c r="AC729" s="1"/>
  <c r="N736"/>
  <c r="Y736"/>
  <c r="T736"/>
  <c r="AC736" s="1"/>
  <c r="N738"/>
  <c r="Y738"/>
  <c r="T738"/>
  <c r="AC738" s="1"/>
  <c r="N748"/>
  <c r="Y748"/>
  <c r="T748"/>
  <c r="AC748" s="1"/>
  <c r="N750"/>
  <c r="Y750"/>
  <c r="T750"/>
  <c r="AC750" s="1"/>
  <c r="N752"/>
  <c r="Y752"/>
  <c r="T752"/>
  <c r="AC752" s="1"/>
  <c r="N754"/>
  <c r="Y754"/>
  <c r="T754"/>
  <c r="AC754" s="1"/>
  <c r="AA605"/>
  <c r="AA619" s="1"/>
  <c r="AA655"/>
  <c r="AA668" s="1"/>
  <c r="AA724"/>
  <c r="AA731" s="1"/>
  <c r="Q756"/>
  <c r="AA745"/>
  <c r="AA756" s="1"/>
  <c r="Q589"/>
  <c r="AA589" s="1"/>
  <c r="Q591"/>
  <c r="AA591" s="1"/>
  <c r="Q593"/>
  <c r="AA593" s="1"/>
  <c r="Q595"/>
  <c r="AA595" s="1"/>
  <c r="Q597"/>
  <c r="AA597" s="1"/>
  <c r="Q599"/>
  <c r="AA599" s="1"/>
  <c r="Q601"/>
  <c r="AA601" s="1"/>
  <c r="Q623"/>
  <c r="AA623" s="1"/>
  <c r="Q627"/>
  <c r="AA627" s="1"/>
  <c r="Q629"/>
  <c r="AA629" s="1"/>
  <c r="Q631"/>
  <c r="AA631" s="1"/>
  <c r="Q633"/>
  <c r="AA633" s="1"/>
  <c r="Q635"/>
  <c r="AA635" s="1"/>
  <c r="Q676"/>
  <c r="AA676" s="1"/>
  <c r="Q678"/>
  <c r="AA678" s="1"/>
  <c r="Q680"/>
  <c r="AA680" s="1"/>
  <c r="Q694"/>
  <c r="Q696"/>
  <c r="AA696" s="1"/>
  <c r="Q698"/>
  <c r="AA698" s="1"/>
  <c r="Q700"/>
  <c r="AA700" s="1"/>
  <c r="Q714"/>
  <c r="Q716"/>
  <c r="AA716" s="1"/>
  <c r="Q718"/>
  <c r="AA718" s="1"/>
  <c r="Q720"/>
  <c r="AA720" s="1"/>
  <c r="Q734"/>
  <c r="Q736"/>
  <c r="AA736" s="1"/>
  <c r="Q738"/>
  <c r="AA738" s="1"/>
  <c r="Q561"/>
  <c r="AA561" s="1"/>
  <c r="Q560"/>
  <c r="AA560" s="1"/>
  <c r="Q559"/>
  <c r="AA559" s="1"/>
  <c r="Q647"/>
  <c r="AA647" s="1"/>
  <c r="Q646"/>
  <c r="AA646" s="1"/>
  <c r="P133"/>
  <c r="Q585"/>
  <c r="P538"/>
  <c r="P543" s="1"/>
  <c r="G535"/>
  <c r="G534"/>
  <c r="Q731" l="1"/>
  <c r="Q668"/>
  <c r="Q619"/>
  <c r="Q652"/>
  <c r="AA652"/>
  <c r="Q565"/>
  <c r="AA565"/>
  <c r="Q682"/>
  <c r="Q701"/>
  <c r="AA694"/>
  <c r="AA701" s="1"/>
  <c r="Y682"/>
  <c r="Q710"/>
  <c r="AA705"/>
  <c r="AA710" s="1"/>
  <c r="Q636"/>
  <c r="AA622"/>
  <c r="AA636" s="1"/>
  <c r="Q602"/>
  <c r="AA588"/>
  <c r="AA602" s="1"/>
  <c r="AC704"/>
  <c r="AC710" s="1"/>
  <c r="T710"/>
  <c r="AC655"/>
  <c r="AC668" s="1"/>
  <c r="T668"/>
  <c r="AC639"/>
  <c r="AC652" s="1"/>
  <c r="T652"/>
  <c r="Y585"/>
  <c r="AC555"/>
  <c r="AC565" s="1"/>
  <c r="T565"/>
  <c r="AC734"/>
  <c r="AC739" s="1"/>
  <c r="T739"/>
  <c r="AC694"/>
  <c r="AC701" s="1"/>
  <c r="T701"/>
  <c r="AC685"/>
  <c r="AC691" s="1"/>
  <c r="T691"/>
  <c r="Q670"/>
  <c r="Y756"/>
  <c r="Y731"/>
  <c r="Y721"/>
  <c r="AA585"/>
  <c r="AA670" s="1"/>
  <c r="Q739"/>
  <c r="AA734"/>
  <c r="AA739" s="1"/>
  <c r="Q721"/>
  <c r="AA714"/>
  <c r="AA721" s="1"/>
  <c r="AA682"/>
  <c r="AC676"/>
  <c r="T682"/>
  <c r="T585"/>
  <c r="AC572"/>
  <c r="Q691"/>
  <c r="Q741" s="1"/>
  <c r="AA685"/>
  <c r="AA691" s="1"/>
  <c r="AC724"/>
  <c r="AC731" s="1"/>
  <c r="T731"/>
  <c r="AC713"/>
  <c r="AC721" s="1"/>
  <c r="T721"/>
  <c r="T741" s="1"/>
  <c r="AC622"/>
  <c r="AC636" s="1"/>
  <c r="T636"/>
  <c r="AC605"/>
  <c r="AC619" s="1"/>
  <c r="T619"/>
  <c r="AC588"/>
  <c r="AC602" s="1"/>
  <c r="T602"/>
  <c r="AC571"/>
  <c r="T756"/>
  <c r="AC746"/>
  <c r="AC756" s="1"/>
  <c r="Y710"/>
  <c r="Y652"/>
  <c r="Y565"/>
  <c r="Y739"/>
  <c r="Y701"/>
  <c r="Y691"/>
  <c r="P146"/>
  <c r="P545" s="1"/>
  <c r="K16"/>
  <c r="L16" s="1"/>
  <c r="K17"/>
  <c r="L17" s="1"/>
  <c r="K18"/>
  <c r="L18" s="1"/>
  <c r="K19"/>
  <c r="L19" s="1"/>
  <c r="K20"/>
  <c r="L20" s="1"/>
  <c r="K21"/>
  <c r="L21" s="1"/>
  <c r="T670" l="1"/>
  <c r="Y670"/>
  <c r="Y741"/>
  <c r="AA741"/>
  <c r="AC585"/>
  <c r="AC670" s="1"/>
  <c r="AC682"/>
  <c r="AC741" s="1"/>
  <c r="P758"/>
  <c r="G530"/>
  <c r="G529"/>
  <c r="G528"/>
  <c r="G527"/>
  <c r="G523"/>
  <c r="G522"/>
  <c r="G521"/>
  <c r="G520"/>
  <c r="G519"/>
  <c r="G515"/>
  <c r="G514"/>
  <c r="G513"/>
  <c r="G512"/>
  <c r="G511"/>
  <c r="G507"/>
  <c r="G506"/>
  <c r="G505"/>
  <c r="G504"/>
  <c r="G503"/>
  <c r="G499"/>
  <c r="G498"/>
  <c r="G497"/>
  <c r="G496"/>
  <c r="G495"/>
  <c r="G491"/>
  <c r="G490"/>
  <c r="G489"/>
  <c r="G488"/>
  <c r="G487"/>
  <c r="G483"/>
  <c r="G482"/>
  <c r="G481"/>
  <c r="G480"/>
  <c r="G479"/>
  <c r="G475"/>
  <c r="G474"/>
  <c r="G473"/>
  <c r="G472"/>
  <c r="G468"/>
  <c r="G467"/>
  <c r="G466"/>
  <c r="G465"/>
  <c r="G464"/>
  <c r="G453"/>
  <c r="G452"/>
  <c r="G451"/>
  <c r="G450"/>
  <c r="G449"/>
  <c r="G445"/>
  <c r="G444"/>
  <c r="G443"/>
  <c r="G442"/>
  <c r="G441"/>
  <c r="G440"/>
  <c r="G436"/>
  <c r="G435"/>
  <c r="G434"/>
  <c r="G433"/>
  <c r="G432"/>
  <c r="G431"/>
  <c r="G427"/>
  <c r="G426"/>
  <c r="G425"/>
  <c r="G424"/>
  <c r="G423"/>
  <c r="G422"/>
  <c r="G418"/>
  <c r="G417"/>
  <c r="G416"/>
  <c r="G415"/>
  <c r="G414"/>
  <c r="G413"/>
  <c r="J224" l="1"/>
  <c r="J223"/>
  <c r="J222"/>
  <c r="J221"/>
  <c r="J220"/>
  <c r="J196"/>
  <c r="J195"/>
  <c r="J194"/>
  <c r="J193"/>
  <c r="J192"/>
  <c r="J191"/>
  <c r="J190"/>
  <c r="J189"/>
  <c r="J535"/>
  <c r="J534"/>
  <c r="J530"/>
  <c r="J529"/>
  <c r="J528"/>
  <c r="J527"/>
  <c r="J523"/>
  <c r="J522"/>
  <c r="J521"/>
  <c r="J520"/>
  <c r="J519"/>
  <c r="J515"/>
  <c r="J514"/>
  <c r="J513"/>
  <c r="J512"/>
  <c r="J511"/>
  <c r="J507"/>
  <c r="J506"/>
  <c r="J505"/>
  <c r="J504"/>
  <c r="J503"/>
  <c r="J499"/>
  <c r="J498"/>
  <c r="J497"/>
  <c r="J496"/>
  <c r="J495"/>
  <c r="J491"/>
  <c r="J490"/>
  <c r="J489"/>
  <c r="J488"/>
  <c r="J487"/>
  <c r="J483"/>
  <c r="J482"/>
  <c r="J481"/>
  <c r="J480"/>
  <c r="J479"/>
  <c r="J475"/>
  <c r="J474"/>
  <c r="J473"/>
  <c r="J472"/>
  <c r="J468"/>
  <c r="J467"/>
  <c r="J466"/>
  <c r="J465"/>
  <c r="J464"/>
  <c r="J453"/>
  <c r="J452"/>
  <c r="J451"/>
  <c r="J450"/>
  <c r="J449"/>
  <c r="J445"/>
  <c r="J444"/>
  <c r="J443"/>
  <c r="J442"/>
  <c r="J441"/>
  <c r="J440"/>
  <c r="J436"/>
  <c r="J435"/>
  <c r="J434"/>
  <c r="J433"/>
  <c r="J432"/>
  <c r="J431"/>
  <c r="J427"/>
  <c r="J426"/>
  <c r="J425"/>
  <c r="J424"/>
  <c r="J423"/>
  <c r="J422"/>
  <c r="J418"/>
  <c r="J417"/>
  <c r="J416"/>
  <c r="J415"/>
  <c r="J414"/>
  <c r="J413"/>
  <c r="G402"/>
  <c r="J402" s="1"/>
  <c r="G401"/>
  <c r="J401" s="1"/>
  <c r="G400"/>
  <c r="J400" s="1"/>
  <c r="G399"/>
  <c r="J399" s="1"/>
  <c r="G398"/>
  <c r="J398" s="1"/>
  <c r="G397"/>
  <c r="J397" s="1"/>
  <c r="G396"/>
  <c r="J396" s="1"/>
  <c r="G392"/>
  <c r="J392" s="1"/>
  <c r="G391"/>
  <c r="J391" s="1"/>
  <c r="G390"/>
  <c r="J390" s="1"/>
  <c r="G389"/>
  <c r="J389" s="1"/>
  <c r="G388"/>
  <c r="J388" s="1"/>
  <c r="G387"/>
  <c r="J387" s="1"/>
  <c r="G383"/>
  <c r="J383" s="1"/>
  <c r="G382"/>
  <c r="J382" s="1"/>
  <c r="G381"/>
  <c r="J381" s="1"/>
  <c r="G380"/>
  <c r="J380" s="1"/>
  <c r="G379"/>
  <c r="J379" s="1"/>
  <c r="G375"/>
  <c r="J375" s="1"/>
  <c r="G374"/>
  <c r="J374" s="1"/>
  <c r="G373"/>
  <c r="J373" s="1"/>
  <c r="G372"/>
  <c r="J372" s="1"/>
  <c r="G371"/>
  <c r="J371" s="1"/>
  <c r="G367"/>
  <c r="J367" s="1"/>
  <c r="G366"/>
  <c r="J366" s="1"/>
  <c r="G365"/>
  <c r="J365" s="1"/>
  <c r="G364"/>
  <c r="J364" s="1"/>
  <c r="G363"/>
  <c r="J363" s="1"/>
  <c r="G362"/>
  <c r="J362" s="1"/>
  <c r="G361"/>
  <c r="J361" s="1"/>
  <c r="G360"/>
  <c r="J360" s="1"/>
  <c r="G356"/>
  <c r="J356" s="1"/>
  <c r="G355"/>
  <c r="J355" s="1"/>
  <c r="G354"/>
  <c r="J354" s="1"/>
  <c r="G353"/>
  <c r="J353" s="1"/>
  <c r="G352"/>
  <c r="J352" s="1"/>
  <c r="G348"/>
  <c r="J348" s="1"/>
  <c r="G347"/>
  <c r="J347" s="1"/>
  <c r="G346"/>
  <c r="J346" s="1"/>
  <c r="G344"/>
  <c r="J344" s="1"/>
  <c r="G343"/>
  <c r="J343" s="1"/>
  <c r="G339"/>
  <c r="J339" s="1"/>
  <c r="G338"/>
  <c r="J338" s="1"/>
  <c r="G337"/>
  <c r="J337" s="1"/>
  <c r="G336"/>
  <c r="J336" s="1"/>
  <c r="G335"/>
  <c r="J335" s="1"/>
  <c r="G334"/>
  <c r="J334" s="1"/>
  <c r="G330"/>
  <c r="J330" s="1"/>
  <c r="G329"/>
  <c r="J329" s="1"/>
  <c r="G328"/>
  <c r="J328" s="1"/>
  <c r="G327"/>
  <c r="J327" s="1"/>
  <c r="G326"/>
  <c r="J326" s="1"/>
  <c r="G325"/>
  <c r="J325" s="1"/>
  <c r="G324"/>
  <c r="J324" s="1"/>
  <c r="G323"/>
  <c r="J323" s="1"/>
  <c r="G319"/>
  <c r="J319" s="1"/>
  <c r="G318"/>
  <c r="J318" s="1"/>
  <c r="G317"/>
  <c r="J317" s="1"/>
  <c r="G316"/>
  <c r="J316" s="1"/>
  <c r="G315"/>
  <c r="J315" s="1"/>
  <c r="G314"/>
  <c r="J314" s="1"/>
  <c r="G313"/>
  <c r="J313" s="1"/>
  <c r="G312"/>
  <c r="J312" s="1"/>
  <c r="G308"/>
  <c r="J308" s="1"/>
  <c r="G307"/>
  <c r="J307" s="1"/>
  <c r="G306"/>
  <c r="J306" s="1"/>
  <c r="G305"/>
  <c r="J305" s="1"/>
  <c r="G304"/>
  <c r="J304" s="1"/>
  <c r="G300"/>
  <c r="J300" s="1"/>
  <c r="G299"/>
  <c r="J299" s="1"/>
  <c r="G298"/>
  <c r="J298" s="1"/>
  <c r="G297"/>
  <c r="J297" s="1"/>
  <c r="G293"/>
  <c r="J293" s="1"/>
  <c r="G292"/>
  <c r="J292" s="1"/>
  <c r="G291"/>
  <c r="J291" s="1"/>
  <c r="G290"/>
  <c r="J290" s="1"/>
  <c r="G289"/>
  <c r="J289" s="1"/>
  <c r="G288"/>
  <c r="J288" s="1"/>
  <c r="G284"/>
  <c r="J284" s="1"/>
  <c r="G283"/>
  <c r="J283" s="1"/>
  <c r="G282"/>
  <c r="J282" s="1"/>
  <c r="G281"/>
  <c r="J281" s="1"/>
  <c r="G280"/>
  <c r="J280" s="1"/>
  <c r="G279"/>
  <c r="J279" s="1"/>
  <c r="G278"/>
  <c r="J278" s="1"/>
  <c r="G277"/>
  <c r="J277" s="1"/>
  <c r="G273"/>
  <c r="J273" s="1"/>
  <c r="G272"/>
  <c r="J272" s="1"/>
  <c r="G271"/>
  <c r="J271" s="1"/>
  <c r="G270"/>
  <c r="J270" s="1"/>
  <c r="G269"/>
  <c r="J269" s="1"/>
  <c r="G268"/>
  <c r="J268" s="1"/>
  <c r="G267"/>
  <c r="J267" s="1"/>
  <c r="G266"/>
  <c r="J266" s="1"/>
  <c r="G262"/>
  <c r="J262" s="1"/>
  <c r="G261"/>
  <c r="J261" s="1"/>
  <c r="G260"/>
  <c r="J260" s="1"/>
  <c r="G259"/>
  <c r="J259" s="1"/>
  <c r="G258"/>
  <c r="J258" s="1"/>
  <c r="G254"/>
  <c r="J254" s="1"/>
  <c r="G253"/>
  <c r="J253" s="1"/>
  <c r="G252"/>
  <c r="J252" s="1"/>
  <c r="G251"/>
  <c r="J251" s="1"/>
  <c r="G250"/>
  <c r="J250" s="1"/>
  <c r="G249"/>
  <c r="J249" s="1"/>
  <c r="G248"/>
  <c r="J248" s="1"/>
  <c r="G247"/>
  <c r="J247" s="1"/>
  <c r="G243"/>
  <c r="J243" s="1"/>
  <c r="G242"/>
  <c r="J242" s="1"/>
  <c r="G241"/>
  <c r="J241" s="1"/>
  <c r="G240"/>
  <c r="J240" s="1"/>
  <c r="G239"/>
  <c r="J239" s="1"/>
  <c r="G238"/>
  <c r="J238" s="1"/>
  <c r="G237"/>
  <c r="J237" s="1"/>
  <c r="G236"/>
  <c r="J236" s="1"/>
  <c r="G232"/>
  <c r="J232" s="1"/>
  <c r="G231"/>
  <c r="J231" s="1"/>
  <c r="G230"/>
  <c r="J230" s="1"/>
  <c r="G229"/>
  <c r="J229" s="1"/>
  <c r="G228"/>
  <c r="J228" s="1"/>
  <c r="G216"/>
  <c r="J216" s="1"/>
  <c r="G215"/>
  <c r="J215" s="1"/>
  <c r="G214"/>
  <c r="J214" s="1"/>
  <c r="G213"/>
  <c r="J213" s="1"/>
  <c r="G212"/>
  <c r="J212" s="1"/>
  <c r="G211"/>
  <c r="G207"/>
  <c r="J207" s="1"/>
  <c r="G206"/>
  <c r="J206" s="1"/>
  <c r="G205"/>
  <c r="J205" s="1"/>
  <c r="G204"/>
  <c r="J204" s="1"/>
  <c r="G203"/>
  <c r="J203" s="1"/>
  <c r="G202"/>
  <c r="J202" s="1"/>
  <c r="G201"/>
  <c r="J201" s="1"/>
  <c r="G200"/>
  <c r="J200" s="1"/>
  <c r="G185"/>
  <c r="J185" s="1"/>
  <c r="G184"/>
  <c r="J184" s="1"/>
  <c r="G183"/>
  <c r="J183" s="1"/>
  <c r="G182"/>
  <c r="J182" s="1"/>
  <c r="G181"/>
  <c r="J181" s="1"/>
  <c r="G177"/>
  <c r="J177" s="1"/>
  <c r="G176"/>
  <c r="J176" s="1"/>
  <c r="G175"/>
  <c r="J175" s="1"/>
  <c r="G174"/>
  <c r="J174" s="1"/>
  <c r="G173"/>
  <c r="J173" s="1"/>
  <c r="G172"/>
  <c r="J172" s="1"/>
  <c r="G168"/>
  <c r="J168" s="1"/>
  <c r="G167"/>
  <c r="J167" s="1"/>
  <c r="G166"/>
  <c r="J166" s="1"/>
  <c r="G165"/>
  <c r="J165" s="1"/>
  <c r="G164"/>
  <c r="J164" s="1"/>
  <c r="G163"/>
  <c r="J163" s="1"/>
  <c r="G162"/>
  <c r="J162" s="1"/>
  <c r="G158"/>
  <c r="J158" s="1"/>
  <c r="G157"/>
  <c r="J157" s="1"/>
  <c r="G156"/>
  <c r="J156" s="1"/>
  <c r="G155"/>
  <c r="J155" s="1"/>
  <c r="G154"/>
  <c r="J154" s="1"/>
  <c r="G153"/>
  <c r="J153" s="1"/>
  <c r="G152"/>
  <c r="J152" s="1"/>
  <c r="G130"/>
  <c r="J130" s="1"/>
  <c r="G129"/>
  <c r="J129" s="1"/>
  <c r="G128"/>
  <c r="J128" s="1"/>
  <c r="G127"/>
  <c r="J127" s="1"/>
  <c r="G126"/>
  <c r="J126" s="1"/>
  <c r="G125"/>
  <c r="J125" s="1"/>
  <c r="G121"/>
  <c r="J121" s="1"/>
  <c r="G120"/>
  <c r="J120" s="1"/>
  <c r="G119"/>
  <c r="J119" s="1"/>
  <c r="G118"/>
  <c r="J118" s="1"/>
  <c r="G117"/>
  <c r="J117" s="1"/>
  <c r="G116"/>
  <c r="J116" s="1"/>
  <c r="G112"/>
  <c r="J112" s="1"/>
  <c r="G111"/>
  <c r="J111" s="1"/>
  <c r="G110"/>
  <c r="J110" s="1"/>
  <c r="G109"/>
  <c r="J109" s="1"/>
  <c r="G108"/>
  <c r="J108" s="1"/>
  <c r="G107"/>
  <c r="J107" s="1"/>
  <c r="G103"/>
  <c r="J103" s="1"/>
  <c r="G102"/>
  <c r="J102" s="1"/>
  <c r="G101"/>
  <c r="J101" s="1"/>
  <c r="G100"/>
  <c r="J100" s="1"/>
  <c r="G96"/>
  <c r="J96" s="1"/>
  <c r="G95"/>
  <c r="J95" s="1"/>
  <c r="G94"/>
  <c r="J94" s="1"/>
  <c r="G93"/>
  <c r="J93" s="1"/>
  <c r="G92"/>
  <c r="J92" s="1"/>
  <c r="G88"/>
  <c r="J88" s="1"/>
  <c r="G87"/>
  <c r="J87" s="1"/>
  <c r="G86"/>
  <c r="J86" s="1"/>
  <c r="G85"/>
  <c r="J85" s="1"/>
  <c r="G84"/>
  <c r="J84" s="1"/>
  <c r="G83"/>
  <c r="J83" s="1"/>
  <c r="G79"/>
  <c r="J79" s="1"/>
  <c r="G78"/>
  <c r="J78" s="1"/>
  <c r="G77"/>
  <c r="J77" s="1"/>
  <c r="G76"/>
  <c r="J76" s="1"/>
  <c r="G75"/>
  <c r="J75" s="1"/>
  <c r="G71"/>
  <c r="J71" s="1"/>
  <c r="G70"/>
  <c r="J70" s="1"/>
  <c r="G69"/>
  <c r="J69" s="1"/>
  <c r="G68"/>
  <c r="J68" s="1"/>
  <c r="G67"/>
  <c r="J67" s="1"/>
  <c r="G63"/>
  <c r="J63" s="1"/>
  <c r="G62"/>
  <c r="J62" s="1"/>
  <c r="G61"/>
  <c r="J61" s="1"/>
  <c r="G60"/>
  <c r="J60" s="1"/>
  <c r="G59"/>
  <c r="J59" s="1"/>
  <c r="G58"/>
  <c r="J58" s="1"/>
  <c r="G29"/>
  <c r="J29" s="1"/>
  <c r="G28"/>
  <c r="J28" s="1"/>
  <c r="G27"/>
  <c r="J27" s="1"/>
  <c r="G26"/>
  <c r="J26" s="1"/>
  <c r="G25"/>
  <c r="J25" s="1"/>
  <c r="G21"/>
  <c r="J21" s="1"/>
  <c r="M21" s="1"/>
  <c r="G20"/>
  <c r="J20" s="1"/>
  <c r="M20" s="1"/>
  <c r="G19"/>
  <c r="J19" s="1"/>
  <c r="M19" s="1"/>
  <c r="G18"/>
  <c r="J18" s="1"/>
  <c r="M18" s="1"/>
  <c r="G17"/>
  <c r="J17" s="1"/>
  <c r="M17" s="1"/>
  <c r="G16"/>
  <c r="J16" s="1"/>
  <c r="M16" s="1"/>
  <c r="G54"/>
  <c r="J54" s="1"/>
  <c r="G53"/>
  <c r="J53" s="1"/>
  <c r="G52"/>
  <c r="J52" s="1"/>
  <c r="G51"/>
  <c r="J51" s="1"/>
  <c r="G50"/>
  <c r="J50" s="1"/>
  <c r="G46"/>
  <c r="J46" s="1"/>
  <c r="G45"/>
  <c r="J45" s="1"/>
  <c r="G44"/>
  <c r="J44" s="1"/>
  <c r="G43"/>
  <c r="J43" s="1"/>
  <c r="G42"/>
  <c r="J42" s="1"/>
  <c r="G38"/>
  <c r="J38" s="1"/>
  <c r="G37"/>
  <c r="J37" s="1"/>
  <c r="G36"/>
  <c r="J36" s="1"/>
  <c r="G35"/>
  <c r="J35" s="1"/>
  <c r="G34"/>
  <c r="J34" s="1"/>
  <c r="G33"/>
  <c r="J33" s="1"/>
  <c r="Y17" l="1"/>
  <c r="T17"/>
  <c r="AC17" s="1"/>
  <c r="Y19"/>
  <c r="T19"/>
  <c r="AC19" s="1"/>
  <c r="Y21"/>
  <c r="T21"/>
  <c r="AC21" s="1"/>
  <c r="Y16"/>
  <c r="T16"/>
  <c r="Y18"/>
  <c r="T18"/>
  <c r="AC18" s="1"/>
  <c r="Y20"/>
  <c r="T20"/>
  <c r="AC20" s="1"/>
  <c r="N17"/>
  <c r="Q17"/>
  <c r="AA17" s="1"/>
  <c r="N21"/>
  <c r="Q21"/>
  <c r="AA21" s="1"/>
  <c r="N16"/>
  <c r="Q16"/>
  <c r="N18"/>
  <c r="Q18"/>
  <c r="AA18" s="1"/>
  <c r="N20"/>
  <c r="Q20"/>
  <c r="AA20" s="1"/>
  <c r="N19"/>
  <c r="Q19"/>
  <c r="AA19" s="1"/>
  <c r="N529"/>
  <c r="N528"/>
  <c r="K29"/>
  <c r="K28"/>
  <c r="K27"/>
  <c r="L27" s="1"/>
  <c r="M27" s="1"/>
  <c r="K26"/>
  <c r="K25"/>
  <c r="K530"/>
  <c r="K529"/>
  <c r="K528"/>
  <c r="K527"/>
  <c r="L527" s="1"/>
  <c r="M527" s="1"/>
  <c r="K523"/>
  <c r="K522"/>
  <c r="K521"/>
  <c r="K520"/>
  <c r="L520" s="1"/>
  <c r="M520" s="1"/>
  <c r="K519"/>
  <c r="K515"/>
  <c r="K514"/>
  <c r="K513"/>
  <c r="L513" s="1"/>
  <c r="M513" s="1"/>
  <c r="K512"/>
  <c r="K511"/>
  <c r="K507"/>
  <c r="K506"/>
  <c r="L506" s="1"/>
  <c r="M506" s="1"/>
  <c r="K505"/>
  <c r="K504"/>
  <c r="K503"/>
  <c r="K499"/>
  <c r="L499" s="1"/>
  <c r="M499" s="1"/>
  <c r="K498"/>
  <c r="K497"/>
  <c r="K496"/>
  <c r="K495"/>
  <c r="L495" s="1"/>
  <c r="M495" s="1"/>
  <c r="K491"/>
  <c r="K490"/>
  <c r="K489"/>
  <c r="K488"/>
  <c r="L488" s="1"/>
  <c r="M488" s="1"/>
  <c r="K487"/>
  <c r="K483"/>
  <c r="K482"/>
  <c r="K481"/>
  <c r="L481" s="1"/>
  <c r="M481" s="1"/>
  <c r="K480"/>
  <c r="K479"/>
  <c r="K475"/>
  <c r="K474"/>
  <c r="L474" s="1"/>
  <c r="M474" s="1"/>
  <c r="K473"/>
  <c r="K472"/>
  <c r="K468"/>
  <c r="K467"/>
  <c r="L467" s="1"/>
  <c r="M467" s="1"/>
  <c r="K466"/>
  <c r="K465"/>
  <c r="K464"/>
  <c r="K453"/>
  <c r="L453" s="1"/>
  <c r="M453" s="1"/>
  <c r="K452"/>
  <c r="K451"/>
  <c r="K450"/>
  <c r="K449"/>
  <c r="L449" s="1"/>
  <c r="M449" s="1"/>
  <c r="L442"/>
  <c r="M442" s="1"/>
  <c r="L435"/>
  <c r="M435" s="1"/>
  <c r="L431"/>
  <c r="M431" s="1"/>
  <c r="L424"/>
  <c r="M424" s="1"/>
  <c r="L417"/>
  <c r="M417" s="1"/>
  <c r="L413"/>
  <c r="M413" s="1"/>
  <c r="K402"/>
  <c r="K401"/>
  <c r="K400"/>
  <c r="K399"/>
  <c r="L399" s="1"/>
  <c r="M399" s="1"/>
  <c r="K398"/>
  <c r="K397"/>
  <c r="K396"/>
  <c r="K392"/>
  <c r="L392" s="1"/>
  <c r="M392" s="1"/>
  <c r="K391"/>
  <c r="K390"/>
  <c r="K389"/>
  <c r="K388"/>
  <c r="L388" s="1"/>
  <c r="M388" s="1"/>
  <c r="K387"/>
  <c r="K383"/>
  <c r="K382"/>
  <c r="K381"/>
  <c r="L381" s="1"/>
  <c r="M381" s="1"/>
  <c r="K380"/>
  <c r="K379"/>
  <c r="K375"/>
  <c r="K374"/>
  <c r="L374" s="1"/>
  <c r="M374" s="1"/>
  <c r="K373"/>
  <c r="K372"/>
  <c r="K371"/>
  <c r="K367"/>
  <c r="L367" s="1"/>
  <c r="M367" s="1"/>
  <c r="K366"/>
  <c r="K365"/>
  <c r="K364"/>
  <c r="K363"/>
  <c r="L363" s="1"/>
  <c r="M363" s="1"/>
  <c r="K362"/>
  <c r="K361"/>
  <c r="K360"/>
  <c r="K356"/>
  <c r="L356" s="1"/>
  <c r="M356" s="1"/>
  <c r="K355"/>
  <c r="K354"/>
  <c r="K353"/>
  <c r="K352"/>
  <c r="L352" s="1"/>
  <c r="M352" s="1"/>
  <c r="K348"/>
  <c r="K347"/>
  <c r="K346"/>
  <c r="K345"/>
  <c r="L345" s="1"/>
  <c r="K344"/>
  <c r="K343"/>
  <c r="K339"/>
  <c r="K338"/>
  <c r="L338" s="1"/>
  <c r="M338" s="1"/>
  <c r="K337"/>
  <c r="K336"/>
  <c r="K335"/>
  <c r="K334"/>
  <c r="L334" s="1"/>
  <c r="M334" s="1"/>
  <c r="K330"/>
  <c r="K329"/>
  <c r="K328"/>
  <c r="K327"/>
  <c r="L327" s="1"/>
  <c r="M327" s="1"/>
  <c r="K326"/>
  <c r="K325"/>
  <c r="K324"/>
  <c r="K323"/>
  <c r="L323" s="1"/>
  <c r="M323" s="1"/>
  <c r="K319"/>
  <c r="K318"/>
  <c r="K317"/>
  <c r="K316"/>
  <c r="L316" s="1"/>
  <c r="M316" s="1"/>
  <c r="K315"/>
  <c r="K314"/>
  <c r="K313"/>
  <c r="K312"/>
  <c r="L312" s="1"/>
  <c r="M312" s="1"/>
  <c r="K308"/>
  <c r="K307"/>
  <c r="K306"/>
  <c r="K305"/>
  <c r="L305" s="1"/>
  <c r="M305" s="1"/>
  <c r="K304"/>
  <c r="K300"/>
  <c r="K299"/>
  <c r="K298"/>
  <c r="L298" s="1"/>
  <c r="M298" s="1"/>
  <c r="K297"/>
  <c r="K293"/>
  <c r="K292"/>
  <c r="K291"/>
  <c r="L291" s="1"/>
  <c r="M291" s="1"/>
  <c r="K290"/>
  <c r="K289"/>
  <c r="L289" s="1"/>
  <c r="M289" s="1"/>
  <c r="K288"/>
  <c r="K284"/>
  <c r="L284" s="1"/>
  <c r="M284" s="1"/>
  <c r="K283"/>
  <c r="K282"/>
  <c r="K281"/>
  <c r="K280"/>
  <c r="L280" s="1"/>
  <c r="M280" s="1"/>
  <c r="K279"/>
  <c r="K278"/>
  <c r="L278" s="1"/>
  <c r="M278" s="1"/>
  <c r="K277"/>
  <c r="K273"/>
  <c r="L273" s="1"/>
  <c r="M273" s="1"/>
  <c r="K272"/>
  <c r="K271"/>
  <c r="K270"/>
  <c r="K269"/>
  <c r="L269" s="1"/>
  <c r="M269" s="1"/>
  <c r="K268"/>
  <c r="K267"/>
  <c r="L267" s="1"/>
  <c r="M267" s="1"/>
  <c r="K266"/>
  <c r="K262"/>
  <c r="L262" s="1"/>
  <c r="M262" s="1"/>
  <c r="K261"/>
  <c r="K260"/>
  <c r="K259"/>
  <c r="K258"/>
  <c r="L258" s="1"/>
  <c r="M258" s="1"/>
  <c r="K254"/>
  <c r="K253"/>
  <c r="L253" s="1"/>
  <c r="M253" s="1"/>
  <c r="K252"/>
  <c r="K251"/>
  <c r="L251" s="1"/>
  <c r="M251" s="1"/>
  <c r="K250"/>
  <c r="K249"/>
  <c r="K248"/>
  <c r="K247"/>
  <c r="L247" s="1"/>
  <c r="M247" s="1"/>
  <c r="K243"/>
  <c r="K242"/>
  <c r="L242" s="1"/>
  <c r="M242" s="1"/>
  <c r="K241"/>
  <c r="K240"/>
  <c r="L240" s="1"/>
  <c r="M240" s="1"/>
  <c r="K239"/>
  <c r="K238"/>
  <c r="L238" s="1"/>
  <c r="M238" s="1"/>
  <c r="K237"/>
  <c r="K236"/>
  <c r="L236" s="1"/>
  <c r="M236" s="1"/>
  <c r="K232"/>
  <c r="K231"/>
  <c r="L231" s="1"/>
  <c r="M231" s="1"/>
  <c r="K230"/>
  <c r="K229"/>
  <c r="L229" s="1"/>
  <c r="M229" s="1"/>
  <c r="K228"/>
  <c r="K216"/>
  <c r="L216" s="1"/>
  <c r="M216" s="1"/>
  <c r="K215"/>
  <c r="K214"/>
  <c r="L214" s="1"/>
  <c r="M214" s="1"/>
  <c r="K213"/>
  <c r="K212"/>
  <c r="L212" s="1"/>
  <c r="M212" s="1"/>
  <c r="K211"/>
  <c r="K207"/>
  <c r="L207" s="1"/>
  <c r="M207" s="1"/>
  <c r="K206"/>
  <c r="K205"/>
  <c r="L205" s="1"/>
  <c r="M205" s="1"/>
  <c r="K204"/>
  <c r="K203"/>
  <c r="L203" s="1"/>
  <c r="M203" s="1"/>
  <c r="K202"/>
  <c r="K201"/>
  <c r="L201" s="1"/>
  <c r="M201" s="1"/>
  <c r="K200"/>
  <c r="K185"/>
  <c r="L185" s="1"/>
  <c r="M185" s="1"/>
  <c r="K184"/>
  <c r="K183"/>
  <c r="L183" s="1"/>
  <c r="M183" s="1"/>
  <c r="K182"/>
  <c r="K181"/>
  <c r="L181" s="1"/>
  <c r="M181" s="1"/>
  <c r="K177"/>
  <c r="K176"/>
  <c r="L176" s="1"/>
  <c r="M176" s="1"/>
  <c r="K175"/>
  <c r="K174"/>
  <c r="L174" s="1"/>
  <c r="M174" s="1"/>
  <c r="K173"/>
  <c r="K172"/>
  <c r="L172" s="1"/>
  <c r="M172" s="1"/>
  <c r="K168"/>
  <c r="K167"/>
  <c r="L167" s="1"/>
  <c r="M167" s="1"/>
  <c r="K166"/>
  <c r="K165"/>
  <c r="L165" s="1"/>
  <c r="M165" s="1"/>
  <c r="K164"/>
  <c r="K163"/>
  <c r="L163" s="1"/>
  <c r="M163" s="1"/>
  <c r="K162"/>
  <c r="K158"/>
  <c r="L158" s="1"/>
  <c r="M158" s="1"/>
  <c r="K157"/>
  <c r="K156"/>
  <c r="L156" s="1"/>
  <c r="M156" s="1"/>
  <c r="K155"/>
  <c r="K154"/>
  <c r="L154" s="1"/>
  <c r="M154" s="1"/>
  <c r="K153"/>
  <c r="K152"/>
  <c r="L152" s="1"/>
  <c r="M152" s="1"/>
  <c r="K130"/>
  <c r="K129"/>
  <c r="L129" s="1"/>
  <c r="M129" s="1"/>
  <c r="K128"/>
  <c r="K127"/>
  <c r="L127" s="1"/>
  <c r="M127" s="1"/>
  <c r="K126"/>
  <c r="K125"/>
  <c r="L125" s="1"/>
  <c r="M125" s="1"/>
  <c r="K121"/>
  <c r="K120"/>
  <c r="L120" s="1"/>
  <c r="M120" s="1"/>
  <c r="K119"/>
  <c r="K118"/>
  <c r="K117"/>
  <c r="K116"/>
  <c r="L116" s="1"/>
  <c r="M116" s="1"/>
  <c r="K112"/>
  <c r="K111"/>
  <c r="L111" s="1"/>
  <c r="M111" s="1"/>
  <c r="K110"/>
  <c r="K109"/>
  <c r="L109" s="1"/>
  <c r="M109" s="1"/>
  <c r="K108"/>
  <c r="K107"/>
  <c r="L107" s="1"/>
  <c r="M107" s="1"/>
  <c r="K103"/>
  <c r="K102"/>
  <c r="L102" s="1"/>
  <c r="M102" s="1"/>
  <c r="K101"/>
  <c r="K100"/>
  <c r="L100" s="1"/>
  <c r="M100" s="1"/>
  <c r="K96"/>
  <c r="K95"/>
  <c r="L95" s="1"/>
  <c r="M95" s="1"/>
  <c r="K94"/>
  <c r="K93"/>
  <c r="L93" s="1"/>
  <c r="M93" s="1"/>
  <c r="K92"/>
  <c r="K88"/>
  <c r="L88" s="1"/>
  <c r="M88" s="1"/>
  <c r="K87"/>
  <c r="K86"/>
  <c r="L86" s="1"/>
  <c r="M86" s="1"/>
  <c r="K85"/>
  <c r="K84"/>
  <c r="L84" s="1"/>
  <c r="M84" s="1"/>
  <c r="K83"/>
  <c r="K79"/>
  <c r="L79" s="1"/>
  <c r="M79" s="1"/>
  <c r="K78"/>
  <c r="K77"/>
  <c r="L77" s="1"/>
  <c r="M77" s="1"/>
  <c r="K76"/>
  <c r="K75"/>
  <c r="L75" s="1"/>
  <c r="M75" s="1"/>
  <c r="K71"/>
  <c r="K70"/>
  <c r="L70" s="1"/>
  <c r="M70" s="1"/>
  <c r="K69"/>
  <c r="K68"/>
  <c r="L68" s="1"/>
  <c r="M68" s="1"/>
  <c r="K67"/>
  <c r="K63"/>
  <c r="L63" s="1"/>
  <c r="M63" s="1"/>
  <c r="K62"/>
  <c r="K61"/>
  <c r="L61" s="1"/>
  <c r="M61" s="1"/>
  <c r="K60"/>
  <c r="K59"/>
  <c r="L59" s="1"/>
  <c r="M59" s="1"/>
  <c r="K58"/>
  <c r="K54"/>
  <c r="L54" s="1"/>
  <c r="M54" s="1"/>
  <c r="K53"/>
  <c r="K52"/>
  <c r="L52" s="1"/>
  <c r="M52" s="1"/>
  <c r="K51"/>
  <c r="K50"/>
  <c r="L50" s="1"/>
  <c r="M50" s="1"/>
  <c r="K46"/>
  <c r="K45"/>
  <c r="L45" s="1"/>
  <c r="M45" s="1"/>
  <c r="K44"/>
  <c r="K43"/>
  <c r="L43" s="1"/>
  <c r="M43" s="1"/>
  <c r="K42"/>
  <c r="K38"/>
  <c r="L38" s="1"/>
  <c r="M38" s="1"/>
  <c r="K37"/>
  <c r="K36"/>
  <c r="L36" s="1"/>
  <c r="M36" s="1"/>
  <c r="K35"/>
  <c r="K34"/>
  <c r="L34" s="1"/>
  <c r="M34" s="1"/>
  <c r="K33"/>
  <c r="L529"/>
  <c r="L522"/>
  <c r="M522" s="1"/>
  <c r="L515"/>
  <c r="M515" s="1"/>
  <c r="L511"/>
  <c r="M511" s="1"/>
  <c r="L504"/>
  <c r="M504" s="1"/>
  <c r="L497"/>
  <c r="M497" s="1"/>
  <c r="L490"/>
  <c r="M490" s="1"/>
  <c r="L483"/>
  <c r="M483" s="1"/>
  <c r="L479"/>
  <c r="M479" s="1"/>
  <c r="L472"/>
  <c r="M472" s="1"/>
  <c r="L465"/>
  <c r="M465" s="1"/>
  <c r="L451"/>
  <c r="M451" s="1"/>
  <c r="L444"/>
  <c r="M444" s="1"/>
  <c r="L440"/>
  <c r="M440" s="1"/>
  <c r="L433"/>
  <c r="M433" s="1"/>
  <c r="L426"/>
  <c r="M426" s="1"/>
  <c r="L422"/>
  <c r="M422" s="1"/>
  <c r="L415"/>
  <c r="M415" s="1"/>
  <c r="L401"/>
  <c r="M401" s="1"/>
  <c r="L397"/>
  <c r="M397" s="1"/>
  <c r="L390"/>
  <c r="M390" s="1"/>
  <c r="L383"/>
  <c r="M383" s="1"/>
  <c r="L379"/>
  <c r="M379" s="1"/>
  <c r="L372"/>
  <c r="M372" s="1"/>
  <c r="L365"/>
  <c r="M365" s="1"/>
  <c r="L361"/>
  <c r="M361" s="1"/>
  <c r="L354"/>
  <c r="M354" s="1"/>
  <c r="L347"/>
  <c r="M347" s="1"/>
  <c r="L343"/>
  <c r="M343" s="1"/>
  <c r="L336"/>
  <c r="M336" s="1"/>
  <c r="L329"/>
  <c r="M329" s="1"/>
  <c r="L325"/>
  <c r="M325" s="1"/>
  <c r="L318"/>
  <c r="M318" s="1"/>
  <c r="L314"/>
  <c r="M314" s="1"/>
  <c r="L307"/>
  <c r="M307" s="1"/>
  <c r="L300"/>
  <c r="M300" s="1"/>
  <c r="L293"/>
  <c r="M293" s="1"/>
  <c r="L282"/>
  <c r="M282" s="1"/>
  <c r="L271"/>
  <c r="M271" s="1"/>
  <c r="L260"/>
  <c r="M260" s="1"/>
  <c r="L249"/>
  <c r="M249" s="1"/>
  <c r="L118"/>
  <c r="M118" s="1"/>
  <c r="L29"/>
  <c r="M29" s="1"/>
  <c r="L25"/>
  <c r="M25" s="1"/>
  <c r="H565"/>
  <c r="I565"/>
  <c r="J565"/>
  <c r="M565"/>
  <c r="H585"/>
  <c r="I585"/>
  <c r="J585"/>
  <c r="M585"/>
  <c r="H602"/>
  <c r="I602"/>
  <c r="J602"/>
  <c r="M602"/>
  <c r="H619"/>
  <c r="I619"/>
  <c r="J619"/>
  <c r="M619"/>
  <c r="H636"/>
  <c r="I636"/>
  <c r="J636"/>
  <c r="M636"/>
  <c r="H652"/>
  <c r="I652"/>
  <c r="J652"/>
  <c r="M652"/>
  <c r="H668"/>
  <c r="I668"/>
  <c r="J668"/>
  <c r="M668"/>
  <c r="H682"/>
  <c r="I682"/>
  <c r="J682"/>
  <c r="M682"/>
  <c r="H691"/>
  <c r="I691"/>
  <c r="J691"/>
  <c r="M691"/>
  <c r="H701"/>
  <c r="I701"/>
  <c r="J701"/>
  <c r="M701"/>
  <c r="H710"/>
  <c r="I710"/>
  <c r="J710"/>
  <c r="M710"/>
  <c r="H721"/>
  <c r="I721"/>
  <c r="J721"/>
  <c r="M721"/>
  <c r="H731"/>
  <c r="I731"/>
  <c r="J731"/>
  <c r="M731"/>
  <c r="H739"/>
  <c r="I739"/>
  <c r="J739"/>
  <c r="J741" s="1"/>
  <c r="M739"/>
  <c r="H756"/>
  <c r="I756"/>
  <c r="J756"/>
  <c r="M756"/>
  <c r="AA16" l="1"/>
  <c r="AA22" s="1"/>
  <c r="Y29"/>
  <c r="T29"/>
  <c r="AC29" s="1"/>
  <c r="Y54"/>
  <c r="T54"/>
  <c r="AC54" s="1"/>
  <c r="Y79"/>
  <c r="T79"/>
  <c r="AC79" s="1"/>
  <c r="Y107"/>
  <c r="T107"/>
  <c r="AC107" s="1"/>
  <c r="Y129"/>
  <c r="T129"/>
  <c r="AC129" s="1"/>
  <c r="Y172"/>
  <c r="T172"/>
  <c r="Y205"/>
  <c r="T205"/>
  <c r="AC205" s="1"/>
  <c r="Y238"/>
  <c r="T238"/>
  <c r="AC238" s="1"/>
  <c r="Y260"/>
  <c r="T260"/>
  <c r="AC260" s="1"/>
  <c r="Y282"/>
  <c r="T282"/>
  <c r="AC282" s="1"/>
  <c r="Y300"/>
  <c r="T300"/>
  <c r="AC300" s="1"/>
  <c r="Y314"/>
  <c r="T314"/>
  <c r="AC314" s="1"/>
  <c r="Y325"/>
  <c r="T325"/>
  <c r="AC325" s="1"/>
  <c r="Y336"/>
  <c r="T336"/>
  <c r="AC336" s="1"/>
  <c r="Y347"/>
  <c r="T347"/>
  <c r="AC347" s="1"/>
  <c r="Y361"/>
  <c r="T361"/>
  <c r="AC361" s="1"/>
  <c r="Y372"/>
  <c r="T372"/>
  <c r="AC372" s="1"/>
  <c r="Y383"/>
  <c r="T383"/>
  <c r="AC383" s="1"/>
  <c r="Y397"/>
  <c r="T397"/>
  <c r="AC397" s="1"/>
  <c r="Y415"/>
  <c r="T415"/>
  <c r="AC415" s="1"/>
  <c r="Y426"/>
  <c r="T426"/>
  <c r="AC426" s="1"/>
  <c r="Y440"/>
  <c r="T440"/>
  <c r="Y451"/>
  <c r="T451"/>
  <c r="AC451" s="1"/>
  <c r="Y472"/>
  <c r="T472"/>
  <c r="AC472" s="1"/>
  <c r="Y483"/>
  <c r="T483"/>
  <c r="AC483" s="1"/>
  <c r="Y497"/>
  <c r="T497"/>
  <c r="AC497" s="1"/>
  <c r="Y511"/>
  <c r="T511"/>
  <c r="Y522"/>
  <c r="T522"/>
  <c r="AC522" s="1"/>
  <c r="Y417"/>
  <c r="T417"/>
  <c r="AC417" s="1"/>
  <c r="Y431"/>
  <c r="T431"/>
  <c r="Y442"/>
  <c r="T442"/>
  <c r="AC442" s="1"/>
  <c r="T22"/>
  <c r="AC16"/>
  <c r="Y25"/>
  <c r="T25"/>
  <c r="Y43"/>
  <c r="T43"/>
  <c r="AC43" s="1"/>
  <c r="Y68"/>
  <c r="T68"/>
  <c r="AC68" s="1"/>
  <c r="Y93"/>
  <c r="T93"/>
  <c r="AC93" s="1"/>
  <c r="Y118"/>
  <c r="T118"/>
  <c r="AC118" s="1"/>
  <c r="Y158"/>
  <c r="T158"/>
  <c r="AC158" s="1"/>
  <c r="Y183"/>
  <c r="T183"/>
  <c r="AC183" s="1"/>
  <c r="Y216"/>
  <c r="T216"/>
  <c r="AC216" s="1"/>
  <c r="Y249"/>
  <c r="T249"/>
  <c r="AC249" s="1"/>
  <c r="Y271"/>
  <c r="T271"/>
  <c r="AC271" s="1"/>
  <c r="Y293"/>
  <c r="T293"/>
  <c r="AC293" s="1"/>
  <c r="Y307"/>
  <c r="T307"/>
  <c r="AC307" s="1"/>
  <c r="Y318"/>
  <c r="T318"/>
  <c r="AC318" s="1"/>
  <c r="Y329"/>
  <c r="T329"/>
  <c r="AC329" s="1"/>
  <c r="Y343"/>
  <c r="T343"/>
  <c r="Y354"/>
  <c r="T354"/>
  <c r="AC354" s="1"/>
  <c r="Y365"/>
  <c r="T365"/>
  <c r="AC365" s="1"/>
  <c r="Y379"/>
  <c r="T379"/>
  <c r="Y390"/>
  <c r="T390"/>
  <c r="AC390" s="1"/>
  <c r="Y401"/>
  <c r="T401"/>
  <c r="AC401" s="1"/>
  <c r="Y422"/>
  <c r="T422"/>
  <c r="Y433"/>
  <c r="T433"/>
  <c r="AC433" s="1"/>
  <c r="Y444"/>
  <c r="T444"/>
  <c r="AC444" s="1"/>
  <c r="Y465"/>
  <c r="T465"/>
  <c r="AC465" s="1"/>
  <c r="Y479"/>
  <c r="T479"/>
  <c r="Y490"/>
  <c r="T490"/>
  <c r="AC490" s="1"/>
  <c r="Y504"/>
  <c r="T504"/>
  <c r="AC504" s="1"/>
  <c r="Y515"/>
  <c r="T515"/>
  <c r="AC515" s="1"/>
  <c r="Y34"/>
  <c r="T34"/>
  <c r="Y36"/>
  <c r="T36"/>
  <c r="AC36" s="1"/>
  <c r="Y38"/>
  <c r="T38"/>
  <c r="AC38" s="1"/>
  <c r="Y45"/>
  <c r="T45"/>
  <c r="AC45" s="1"/>
  <c r="Y50"/>
  <c r="T50"/>
  <c r="Y52"/>
  <c r="T52"/>
  <c r="AC52" s="1"/>
  <c r="Y59"/>
  <c r="T59"/>
  <c r="AC59" s="1"/>
  <c r="Y61"/>
  <c r="T61"/>
  <c r="AC61" s="1"/>
  <c r="Y63"/>
  <c r="T63"/>
  <c r="AC63" s="1"/>
  <c r="Y70"/>
  <c r="T70"/>
  <c r="AC70" s="1"/>
  <c r="Y75"/>
  <c r="T75"/>
  <c r="Y77"/>
  <c r="T77"/>
  <c r="AC77" s="1"/>
  <c r="Y84"/>
  <c r="T84"/>
  <c r="Y86"/>
  <c r="T86"/>
  <c r="AC86" s="1"/>
  <c r="Y88"/>
  <c r="T88"/>
  <c r="AC88" s="1"/>
  <c r="Y95"/>
  <c r="T95"/>
  <c r="AC95" s="1"/>
  <c r="Y100"/>
  <c r="T100"/>
  <c r="Y102"/>
  <c r="T102"/>
  <c r="AC102" s="1"/>
  <c r="Y109"/>
  <c r="T109"/>
  <c r="AC109" s="1"/>
  <c r="Y111"/>
  <c r="T111"/>
  <c r="AC111" s="1"/>
  <c r="Y116"/>
  <c r="T116"/>
  <c r="Y120"/>
  <c r="T120"/>
  <c r="AC120" s="1"/>
  <c r="Y125"/>
  <c r="T125"/>
  <c r="AC125" s="1"/>
  <c r="Y127"/>
  <c r="T127"/>
  <c r="AC127" s="1"/>
  <c r="Y152"/>
  <c r="T152"/>
  <c r="Y154"/>
  <c r="T154"/>
  <c r="AC154" s="1"/>
  <c r="Y156"/>
  <c r="T156"/>
  <c r="AC156" s="1"/>
  <c r="Y163"/>
  <c r="T163"/>
  <c r="AC163" s="1"/>
  <c r="Y165"/>
  <c r="T165"/>
  <c r="AC165" s="1"/>
  <c r="Y167"/>
  <c r="T167"/>
  <c r="AC167" s="1"/>
  <c r="Y174"/>
  <c r="T174"/>
  <c r="AC174" s="1"/>
  <c r="Y176"/>
  <c r="T176"/>
  <c r="AC176" s="1"/>
  <c r="Y181"/>
  <c r="T181"/>
  <c r="Y185"/>
  <c r="T185"/>
  <c r="AC185" s="1"/>
  <c r="Y201"/>
  <c r="T201"/>
  <c r="AC201" s="1"/>
  <c r="Y203"/>
  <c r="T203"/>
  <c r="AC203" s="1"/>
  <c r="Y207"/>
  <c r="T207"/>
  <c r="AC207" s="1"/>
  <c r="Y212"/>
  <c r="T212"/>
  <c r="AC212" s="1"/>
  <c r="Y214"/>
  <c r="T214"/>
  <c r="AC214" s="1"/>
  <c r="Y229"/>
  <c r="T229"/>
  <c r="AC229" s="1"/>
  <c r="Y231"/>
  <c r="T231"/>
  <c r="AC231" s="1"/>
  <c r="Y236"/>
  <c r="T236"/>
  <c r="AC236" s="1"/>
  <c r="Y240"/>
  <c r="T240"/>
  <c r="AC240" s="1"/>
  <c r="Y242"/>
  <c r="T242"/>
  <c r="AC242" s="1"/>
  <c r="Y247"/>
  <c r="T247"/>
  <c r="Y251"/>
  <c r="T251"/>
  <c r="AC251" s="1"/>
  <c r="Y253"/>
  <c r="T253"/>
  <c r="AC253" s="1"/>
  <c r="Y258"/>
  <c r="T258"/>
  <c r="Y262"/>
  <c r="T262"/>
  <c r="AC262" s="1"/>
  <c r="Y267"/>
  <c r="T267"/>
  <c r="AC267" s="1"/>
  <c r="Y269"/>
  <c r="T269"/>
  <c r="AC269" s="1"/>
  <c r="Y273"/>
  <c r="T273"/>
  <c r="AC273" s="1"/>
  <c r="Y278"/>
  <c r="T278"/>
  <c r="AC278" s="1"/>
  <c r="Y280"/>
  <c r="T280"/>
  <c r="AC280" s="1"/>
  <c r="Y284"/>
  <c r="T284"/>
  <c r="AC284" s="1"/>
  <c r="Y289"/>
  <c r="T289"/>
  <c r="Y291"/>
  <c r="T291"/>
  <c r="AC291" s="1"/>
  <c r="Y298"/>
  <c r="T298"/>
  <c r="AC298" s="1"/>
  <c r="Y305"/>
  <c r="T305"/>
  <c r="AC305" s="1"/>
  <c r="Y312"/>
  <c r="T312"/>
  <c r="Y316"/>
  <c r="T316"/>
  <c r="AC316" s="1"/>
  <c r="Y323"/>
  <c r="T323"/>
  <c r="Y327"/>
  <c r="T327"/>
  <c r="AC327" s="1"/>
  <c r="Y334"/>
  <c r="T334"/>
  <c r="Y338"/>
  <c r="T338"/>
  <c r="AC338" s="1"/>
  <c r="Y352"/>
  <c r="T352"/>
  <c r="Y356"/>
  <c r="T356"/>
  <c r="AC356" s="1"/>
  <c r="Y363"/>
  <c r="T363"/>
  <c r="AC363" s="1"/>
  <c r="Y367"/>
  <c r="T367"/>
  <c r="AC367" s="1"/>
  <c r="Y374"/>
  <c r="T374"/>
  <c r="AC374" s="1"/>
  <c r="Y381"/>
  <c r="T381"/>
  <c r="AC381" s="1"/>
  <c r="Y388"/>
  <c r="T388"/>
  <c r="AC388" s="1"/>
  <c r="Y392"/>
  <c r="T392"/>
  <c r="AC392" s="1"/>
  <c r="Y399"/>
  <c r="T399"/>
  <c r="AC399" s="1"/>
  <c r="Y413"/>
  <c r="T413"/>
  <c r="Y424"/>
  <c r="T424"/>
  <c r="AC424" s="1"/>
  <c r="Y435"/>
  <c r="T435"/>
  <c r="AC435" s="1"/>
  <c r="Y449"/>
  <c r="T449"/>
  <c r="Y453"/>
  <c r="T453"/>
  <c r="AC453" s="1"/>
  <c r="Y467"/>
  <c r="T467"/>
  <c r="AC467" s="1"/>
  <c r="Y474"/>
  <c r="T474"/>
  <c r="AC474" s="1"/>
  <c r="Y481"/>
  <c r="T481"/>
  <c r="AC481" s="1"/>
  <c r="Y488"/>
  <c r="T488"/>
  <c r="AC488" s="1"/>
  <c r="Y495"/>
  <c r="T495"/>
  <c r="Y499"/>
  <c r="T499"/>
  <c r="AC499" s="1"/>
  <c r="Y506"/>
  <c r="T506"/>
  <c r="AC506" s="1"/>
  <c r="Y513"/>
  <c r="T513"/>
  <c r="AC513" s="1"/>
  <c r="Y520"/>
  <c r="T520"/>
  <c r="AC520" s="1"/>
  <c r="Y527"/>
  <c r="T527"/>
  <c r="Y27"/>
  <c r="T27"/>
  <c r="AC27" s="1"/>
  <c r="Y22"/>
  <c r="N43"/>
  <c r="Q43"/>
  <c r="AA43" s="1"/>
  <c r="N93"/>
  <c r="Q93"/>
  <c r="AA93" s="1"/>
  <c r="N183"/>
  <c r="Q183"/>
  <c r="AA183" s="1"/>
  <c r="N249"/>
  <c r="Q249"/>
  <c r="AA249" s="1"/>
  <c r="N293"/>
  <c r="Q293"/>
  <c r="AA293" s="1"/>
  <c r="N318"/>
  <c r="Q318"/>
  <c r="AA318" s="1"/>
  <c r="N343"/>
  <c r="Q343"/>
  <c r="AA343" s="1"/>
  <c r="N379"/>
  <c r="Q379"/>
  <c r="AA379" s="1"/>
  <c r="N401"/>
  <c r="Q401"/>
  <c r="AA401" s="1"/>
  <c r="N433"/>
  <c r="Q433"/>
  <c r="AA433" s="1"/>
  <c r="N465"/>
  <c r="Q465"/>
  <c r="AA465" s="1"/>
  <c r="N490"/>
  <c r="Q490"/>
  <c r="AA490" s="1"/>
  <c r="N515"/>
  <c r="Q515"/>
  <c r="AA515" s="1"/>
  <c r="N36"/>
  <c r="Q36"/>
  <c r="AA36" s="1"/>
  <c r="N45"/>
  <c r="Q45"/>
  <c r="AA45" s="1"/>
  <c r="N52"/>
  <c r="Q52"/>
  <c r="AA52" s="1"/>
  <c r="N61"/>
  <c r="Q61"/>
  <c r="AA61" s="1"/>
  <c r="N75"/>
  <c r="Q75"/>
  <c r="AA75" s="1"/>
  <c r="N84"/>
  <c r="Q84"/>
  <c r="AA84" s="1"/>
  <c r="N88"/>
  <c r="Q88"/>
  <c r="AA88" s="1"/>
  <c r="N100"/>
  <c r="Q100"/>
  <c r="AA100" s="1"/>
  <c r="N111"/>
  <c r="Q111"/>
  <c r="AA111" s="1"/>
  <c r="N125"/>
  <c r="Q125"/>
  <c r="AA125" s="1"/>
  <c r="N152"/>
  <c r="Q152"/>
  <c r="AA152" s="1"/>
  <c r="N163"/>
  <c r="Q163"/>
  <c r="AA163" s="1"/>
  <c r="N174"/>
  <c r="Q174"/>
  <c r="AA174" s="1"/>
  <c r="N181"/>
  <c r="Q181"/>
  <c r="AA181" s="1"/>
  <c r="N201"/>
  <c r="Q201"/>
  <c r="AA201" s="1"/>
  <c r="N212"/>
  <c r="Q212"/>
  <c r="AA212" s="1"/>
  <c r="N231"/>
  <c r="Q231"/>
  <c r="AA231" s="1"/>
  <c r="N242"/>
  <c r="Q242"/>
  <c r="AA242" s="1"/>
  <c r="N251"/>
  <c r="Q251"/>
  <c r="AA251" s="1"/>
  <c r="N258"/>
  <c r="Q258"/>
  <c r="AA258" s="1"/>
  <c r="N262"/>
  <c r="Q262"/>
  <c r="AA262" s="1"/>
  <c r="N269"/>
  <c r="Q269"/>
  <c r="AA269" s="1"/>
  <c r="N273"/>
  <c r="Q273"/>
  <c r="AA273" s="1"/>
  <c r="N278"/>
  <c r="Q278"/>
  <c r="AA278" s="1"/>
  <c r="N280"/>
  <c r="Q280"/>
  <c r="AA280" s="1"/>
  <c r="N284"/>
  <c r="Q284"/>
  <c r="AA284" s="1"/>
  <c r="N289"/>
  <c r="Q289"/>
  <c r="AA289" s="1"/>
  <c r="N291"/>
  <c r="Q291"/>
  <c r="AA291" s="1"/>
  <c r="N298"/>
  <c r="Q298"/>
  <c r="AA298" s="1"/>
  <c r="N305"/>
  <c r="Q305"/>
  <c r="AA305" s="1"/>
  <c r="N312"/>
  <c r="Q312"/>
  <c r="AA312" s="1"/>
  <c r="N316"/>
  <c r="Q316"/>
  <c r="AA316" s="1"/>
  <c r="N323"/>
  <c r="Q323"/>
  <c r="AA323" s="1"/>
  <c r="N327"/>
  <c r="Q327"/>
  <c r="AA327" s="1"/>
  <c r="N334"/>
  <c r="Q334"/>
  <c r="AA334" s="1"/>
  <c r="N338"/>
  <c r="Q338"/>
  <c r="AA338" s="1"/>
  <c r="N352"/>
  <c r="Q352"/>
  <c r="AA352" s="1"/>
  <c r="N356"/>
  <c r="Q356"/>
  <c r="AA356" s="1"/>
  <c r="N363"/>
  <c r="Q363"/>
  <c r="AA363" s="1"/>
  <c r="N367"/>
  <c r="Q367"/>
  <c r="AA367" s="1"/>
  <c r="N374"/>
  <c r="Q374"/>
  <c r="AA374" s="1"/>
  <c r="N381"/>
  <c r="Q381"/>
  <c r="AA381" s="1"/>
  <c r="N388"/>
  <c r="Q388"/>
  <c r="AA388" s="1"/>
  <c r="N392"/>
  <c r="Q392"/>
  <c r="AA392" s="1"/>
  <c r="N399"/>
  <c r="Q399"/>
  <c r="AA399" s="1"/>
  <c r="N413"/>
  <c r="Q413"/>
  <c r="AA413" s="1"/>
  <c r="N417"/>
  <c r="Q417"/>
  <c r="AA417" s="1"/>
  <c r="N424"/>
  <c r="Q424"/>
  <c r="AA424" s="1"/>
  <c r="N431"/>
  <c r="Q431"/>
  <c r="AA431" s="1"/>
  <c r="N435"/>
  <c r="Q435"/>
  <c r="AA435" s="1"/>
  <c r="N442"/>
  <c r="Q442"/>
  <c r="AA442" s="1"/>
  <c r="N449"/>
  <c r="Q449"/>
  <c r="AA449" s="1"/>
  <c r="N453"/>
  <c r="Q453"/>
  <c r="AA453" s="1"/>
  <c r="N467"/>
  <c r="Q467"/>
  <c r="AA467" s="1"/>
  <c r="N474"/>
  <c r="Q474"/>
  <c r="AA474" s="1"/>
  <c r="N481"/>
  <c r="Q481"/>
  <c r="AA481" s="1"/>
  <c r="N488"/>
  <c r="Q488"/>
  <c r="AA488" s="1"/>
  <c r="N495"/>
  <c r="Q495"/>
  <c r="AA495" s="1"/>
  <c r="N499"/>
  <c r="Q499"/>
  <c r="AA499" s="1"/>
  <c r="N506"/>
  <c r="Q506"/>
  <c r="AA506" s="1"/>
  <c r="N513"/>
  <c r="Q513"/>
  <c r="AA513" s="1"/>
  <c r="N520"/>
  <c r="Q520"/>
  <c r="AA520" s="1"/>
  <c r="N527"/>
  <c r="Q527"/>
  <c r="AA527" s="1"/>
  <c r="N27"/>
  <c r="Q27"/>
  <c r="AA27" s="1"/>
  <c r="N25"/>
  <c r="Q25"/>
  <c r="AA25" s="1"/>
  <c r="N68"/>
  <c r="Q68"/>
  <c r="AA68" s="1"/>
  <c r="N118"/>
  <c r="Q118"/>
  <c r="AA118" s="1"/>
  <c r="N158"/>
  <c r="Q158"/>
  <c r="AA158" s="1"/>
  <c r="N216"/>
  <c r="Q216"/>
  <c r="AA216" s="1"/>
  <c r="N271"/>
  <c r="Q271"/>
  <c r="AA271" s="1"/>
  <c r="N307"/>
  <c r="Q307"/>
  <c r="AA307" s="1"/>
  <c r="N329"/>
  <c r="Q329"/>
  <c r="AA329" s="1"/>
  <c r="N354"/>
  <c r="Q354"/>
  <c r="AA354" s="1"/>
  <c r="N365"/>
  <c r="Q365"/>
  <c r="AA365" s="1"/>
  <c r="N390"/>
  <c r="Q390"/>
  <c r="AA390" s="1"/>
  <c r="N422"/>
  <c r="Q422"/>
  <c r="AA422" s="1"/>
  <c r="N444"/>
  <c r="Q444"/>
  <c r="AA444" s="1"/>
  <c r="N479"/>
  <c r="Q479"/>
  <c r="AA479" s="1"/>
  <c r="N504"/>
  <c r="Q504"/>
  <c r="AA504" s="1"/>
  <c r="N34"/>
  <c r="Q34"/>
  <c r="AA34" s="1"/>
  <c r="N38"/>
  <c r="Q38"/>
  <c r="AA38" s="1"/>
  <c r="N50"/>
  <c r="Q50"/>
  <c r="AA50" s="1"/>
  <c r="N59"/>
  <c r="Q59"/>
  <c r="AA59" s="1"/>
  <c r="N63"/>
  <c r="Q63"/>
  <c r="AA63" s="1"/>
  <c r="N70"/>
  <c r="Q70"/>
  <c r="AA70" s="1"/>
  <c r="N77"/>
  <c r="Q77"/>
  <c r="AA77" s="1"/>
  <c r="N86"/>
  <c r="Q86"/>
  <c r="AA86" s="1"/>
  <c r="N95"/>
  <c r="Q95"/>
  <c r="AA95" s="1"/>
  <c r="N102"/>
  <c r="Q102"/>
  <c r="AA102" s="1"/>
  <c r="N109"/>
  <c r="Q109"/>
  <c r="AA109" s="1"/>
  <c r="N116"/>
  <c r="Q116"/>
  <c r="AA116" s="1"/>
  <c r="N120"/>
  <c r="Q120"/>
  <c r="AA120" s="1"/>
  <c r="N127"/>
  <c r="Q127"/>
  <c r="AA127" s="1"/>
  <c r="N154"/>
  <c r="Q154"/>
  <c r="AA154" s="1"/>
  <c r="N156"/>
  <c r="Q156"/>
  <c r="AA156" s="1"/>
  <c r="N165"/>
  <c r="Q165"/>
  <c r="AA165" s="1"/>
  <c r="N167"/>
  <c r="Q167"/>
  <c r="AA167" s="1"/>
  <c r="N176"/>
  <c r="Q176"/>
  <c r="AA176" s="1"/>
  <c r="N185"/>
  <c r="Q185"/>
  <c r="AA185" s="1"/>
  <c r="N203"/>
  <c r="Q203"/>
  <c r="AA203" s="1"/>
  <c r="N207"/>
  <c r="Q207"/>
  <c r="AA207" s="1"/>
  <c r="N214"/>
  <c r="Q214"/>
  <c r="AA214" s="1"/>
  <c r="N229"/>
  <c r="Q229"/>
  <c r="AA229" s="1"/>
  <c r="N236"/>
  <c r="Q236"/>
  <c r="AA236" s="1"/>
  <c r="N240"/>
  <c r="Q240"/>
  <c r="AA240" s="1"/>
  <c r="N247"/>
  <c r="Q247"/>
  <c r="AA247" s="1"/>
  <c r="N253"/>
  <c r="Q253"/>
  <c r="AA253" s="1"/>
  <c r="N267"/>
  <c r="Q267"/>
  <c r="AA267" s="1"/>
  <c r="N29"/>
  <c r="Q29"/>
  <c r="AA29" s="1"/>
  <c r="N54"/>
  <c r="Q54"/>
  <c r="AA54" s="1"/>
  <c r="N79"/>
  <c r="Q79"/>
  <c r="AA79" s="1"/>
  <c r="N107"/>
  <c r="Q107"/>
  <c r="AA107" s="1"/>
  <c r="N129"/>
  <c r="Q129"/>
  <c r="AA129" s="1"/>
  <c r="N172"/>
  <c r="Q172"/>
  <c r="AA172" s="1"/>
  <c r="N205"/>
  <c r="Q205"/>
  <c r="AA205" s="1"/>
  <c r="N238"/>
  <c r="Q238"/>
  <c r="AA238" s="1"/>
  <c r="N260"/>
  <c r="Q260"/>
  <c r="AA260" s="1"/>
  <c r="N282"/>
  <c r="Q282"/>
  <c r="AA282" s="1"/>
  <c r="N300"/>
  <c r="Q300"/>
  <c r="AA300" s="1"/>
  <c r="N314"/>
  <c r="Q314"/>
  <c r="AA314" s="1"/>
  <c r="N325"/>
  <c r="Q325"/>
  <c r="AA325" s="1"/>
  <c r="N336"/>
  <c r="Q336"/>
  <c r="AA336" s="1"/>
  <c r="N347"/>
  <c r="Q347"/>
  <c r="AA347" s="1"/>
  <c r="N361"/>
  <c r="Q361"/>
  <c r="AA361" s="1"/>
  <c r="N372"/>
  <c r="Q372"/>
  <c r="AA372" s="1"/>
  <c r="N383"/>
  <c r="Q383"/>
  <c r="AA383" s="1"/>
  <c r="N397"/>
  <c r="Q397"/>
  <c r="AA397" s="1"/>
  <c r="N415"/>
  <c r="Q415"/>
  <c r="AA415" s="1"/>
  <c r="N426"/>
  <c r="Q426"/>
  <c r="AA426" s="1"/>
  <c r="N440"/>
  <c r="Q440"/>
  <c r="AA440" s="1"/>
  <c r="N451"/>
  <c r="Q451"/>
  <c r="AA451" s="1"/>
  <c r="N472"/>
  <c r="Q472"/>
  <c r="AA472" s="1"/>
  <c r="N483"/>
  <c r="Q483"/>
  <c r="AA483" s="1"/>
  <c r="N497"/>
  <c r="Q497"/>
  <c r="AA497" s="1"/>
  <c r="N511"/>
  <c r="Q511"/>
  <c r="AA511" s="1"/>
  <c r="N522"/>
  <c r="Q522"/>
  <c r="AA522" s="1"/>
  <c r="Q22"/>
  <c r="N668"/>
  <c r="N602"/>
  <c r="L26"/>
  <c r="M26" s="1"/>
  <c r="L28"/>
  <c r="M28" s="1"/>
  <c r="L33"/>
  <c r="M33" s="1"/>
  <c r="L35"/>
  <c r="M35" s="1"/>
  <c r="L37"/>
  <c r="M37" s="1"/>
  <c r="L42"/>
  <c r="M42" s="1"/>
  <c r="L44"/>
  <c r="M44" s="1"/>
  <c r="L46"/>
  <c r="M46" s="1"/>
  <c r="L51"/>
  <c r="M51" s="1"/>
  <c r="L53"/>
  <c r="M53" s="1"/>
  <c r="L58"/>
  <c r="M58" s="1"/>
  <c r="L60"/>
  <c r="M60" s="1"/>
  <c r="L62"/>
  <c r="M62" s="1"/>
  <c r="L67"/>
  <c r="M67" s="1"/>
  <c r="L69"/>
  <c r="M69" s="1"/>
  <c r="L71"/>
  <c r="M71" s="1"/>
  <c r="L76"/>
  <c r="M76" s="1"/>
  <c r="L78"/>
  <c r="M78" s="1"/>
  <c r="L83"/>
  <c r="M83" s="1"/>
  <c r="L85"/>
  <c r="M85" s="1"/>
  <c r="L87"/>
  <c r="M87" s="1"/>
  <c r="L92"/>
  <c r="M92" s="1"/>
  <c r="L94"/>
  <c r="M94" s="1"/>
  <c r="L96"/>
  <c r="M96" s="1"/>
  <c r="L101"/>
  <c r="M101" s="1"/>
  <c r="L103"/>
  <c r="M103" s="1"/>
  <c r="L108"/>
  <c r="M108" s="1"/>
  <c r="L110"/>
  <c r="M110" s="1"/>
  <c r="L112"/>
  <c r="M112" s="1"/>
  <c r="L117"/>
  <c r="M117" s="1"/>
  <c r="L119"/>
  <c r="M119" s="1"/>
  <c r="L121"/>
  <c r="M121" s="1"/>
  <c r="L126"/>
  <c r="M126" s="1"/>
  <c r="L128"/>
  <c r="M128" s="1"/>
  <c r="L130"/>
  <c r="M130" s="1"/>
  <c r="L153"/>
  <c r="M153" s="1"/>
  <c r="L155"/>
  <c r="M155" s="1"/>
  <c r="L157"/>
  <c r="M157" s="1"/>
  <c r="L162"/>
  <c r="M162" s="1"/>
  <c r="L164"/>
  <c r="M164" s="1"/>
  <c r="L166"/>
  <c r="M166" s="1"/>
  <c r="L168"/>
  <c r="M168" s="1"/>
  <c r="L173"/>
  <c r="M173" s="1"/>
  <c r="L175"/>
  <c r="M175" s="1"/>
  <c r="L177"/>
  <c r="M177" s="1"/>
  <c r="L182"/>
  <c r="M182" s="1"/>
  <c r="L184"/>
  <c r="M184" s="1"/>
  <c r="L200"/>
  <c r="M200" s="1"/>
  <c r="L202"/>
  <c r="M202" s="1"/>
  <c r="L204"/>
  <c r="M204" s="1"/>
  <c r="L206"/>
  <c r="M206" s="1"/>
  <c r="L211"/>
  <c r="M211" s="1"/>
  <c r="L213"/>
  <c r="M213" s="1"/>
  <c r="L215"/>
  <c r="M215" s="1"/>
  <c r="L228"/>
  <c r="M228" s="1"/>
  <c r="L230"/>
  <c r="M230" s="1"/>
  <c r="L232"/>
  <c r="M232" s="1"/>
  <c r="L237"/>
  <c r="M237" s="1"/>
  <c r="L239"/>
  <c r="M239" s="1"/>
  <c r="L241"/>
  <c r="M241" s="1"/>
  <c r="L243"/>
  <c r="M243" s="1"/>
  <c r="L248"/>
  <c r="M248" s="1"/>
  <c r="L250"/>
  <c r="M250" s="1"/>
  <c r="L252"/>
  <c r="M252" s="1"/>
  <c r="L254"/>
  <c r="M254" s="1"/>
  <c r="L259"/>
  <c r="M259" s="1"/>
  <c r="L261"/>
  <c r="M261" s="1"/>
  <c r="L266"/>
  <c r="M266" s="1"/>
  <c r="L268"/>
  <c r="M268" s="1"/>
  <c r="L270"/>
  <c r="M270" s="1"/>
  <c r="L272"/>
  <c r="M272" s="1"/>
  <c r="L277"/>
  <c r="M277" s="1"/>
  <c r="L279"/>
  <c r="M279" s="1"/>
  <c r="L281"/>
  <c r="M281" s="1"/>
  <c r="L283"/>
  <c r="M283" s="1"/>
  <c r="L288"/>
  <c r="M288" s="1"/>
  <c r="L290"/>
  <c r="M290" s="1"/>
  <c r="L292"/>
  <c r="M292" s="1"/>
  <c r="L297"/>
  <c r="M297" s="1"/>
  <c r="L299"/>
  <c r="M299" s="1"/>
  <c r="L304"/>
  <c r="M304" s="1"/>
  <c r="L306"/>
  <c r="M306" s="1"/>
  <c r="L308"/>
  <c r="M308" s="1"/>
  <c r="L313"/>
  <c r="M313" s="1"/>
  <c r="L315"/>
  <c r="M315" s="1"/>
  <c r="L317"/>
  <c r="M317" s="1"/>
  <c r="L319"/>
  <c r="M319" s="1"/>
  <c r="L324"/>
  <c r="M324" s="1"/>
  <c r="L326"/>
  <c r="M326" s="1"/>
  <c r="L328"/>
  <c r="M328" s="1"/>
  <c r="L330"/>
  <c r="M330" s="1"/>
  <c r="L335"/>
  <c r="M335" s="1"/>
  <c r="L337"/>
  <c r="M337" s="1"/>
  <c r="L339"/>
  <c r="M339" s="1"/>
  <c r="L344"/>
  <c r="M344" s="1"/>
  <c r="L346"/>
  <c r="M346" s="1"/>
  <c r="L348"/>
  <c r="M348" s="1"/>
  <c r="L353"/>
  <c r="M353" s="1"/>
  <c r="L355"/>
  <c r="M355" s="1"/>
  <c r="L360"/>
  <c r="M360" s="1"/>
  <c r="L362"/>
  <c r="M362" s="1"/>
  <c r="L364"/>
  <c r="M364" s="1"/>
  <c r="L366"/>
  <c r="M366" s="1"/>
  <c r="L371"/>
  <c r="M371" s="1"/>
  <c r="L373"/>
  <c r="M373" s="1"/>
  <c r="L375"/>
  <c r="M375" s="1"/>
  <c r="L380"/>
  <c r="M380" s="1"/>
  <c r="L382"/>
  <c r="M382" s="1"/>
  <c r="L387"/>
  <c r="M387" s="1"/>
  <c r="L389"/>
  <c r="M389" s="1"/>
  <c r="L391"/>
  <c r="M391" s="1"/>
  <c r="L396"/>
  <c r="M396" s="1"/>
  <c r="L398"/>
  <c r="M398" s="1"/>
  <c r="L400"/>
  <c r="M400" s="1"/>
  <c r="L402"/>
  <c r="M402" s="1"/>
  <c r="L414"/>
  <c r="M414" s="1"/>
  <c r="L416"/>
  <c r="M416" s="1"/>
  <c r="L418"/>
  <c r="M418" s="1"/>
  <c r="L423"/>
  <c r="M423" s="1"/>
  <c r="L425"/>
  <c r="M425" s="1"/>
  <c r="L427"/>
  <c r="M427" s="1"/>
  <c r="L432"/>
  <c r="M432" s="1"/>
  <c r="L434"/>
  <c r="M434" s="1"/>
  <c r="L436"/>
  <c r="M436" s="1"/>
  <c r="L441"/>
  <c r="M441" s="1"/>
  <c r="L443"/>
  <c r="M443" s="1"/>
  <c r="L445"/>
  <c r="M445" s="1"/>
  <c r="L450"/>
  <c r="M450" s="1"/>
  <c r="L452"/>
  <c r="M452" s="1"/>
  <c r="L464"/>
  <c r="M464" s="1"/>
  <c r="L466"/>
  <c r="M466" s="1"/>
  <c r="L468"/>
  <c r="M468" s="1"/>
  <c r="L473"/>
  <c r="M473" s="1"/>
  <c r="L475"/>
  <c r="M475" s="1"/>
  <c r="L480"/>
  <c r="M480" s="1"/>
  <c r="L482"/>
  <c r="M482" s="1"/>
  <c r="L487"/>
  <c r="M487" s="1"/>
  <c r="L489"/>
  <c r="M489" s="1"/>
  <c r="L491"/>
  <c r="M491" s="1"/>
  <c r="L496"/>
  <c r="M496" s="1"/>
  <c r="L498"/>
  <c r="M498" s="1"/>
  <c r="L503"/>
  <c r="M503" s="1"/>
  <c r="L505"/>
  <c r="M505" s="1"/>
  <c r="L507"/>
  <c r="M507" s="1"/>
  <c r="L512"/>
  <c r="M512" s="1"/>
  <c r="L514"/>
  <c r="M514" s="1"/>
  <c r="L519"/>
  <c r="M519" s="1"/>
  <c r="L521"/>
  <c r="M521" s="1"/>
  <c r="L523"/>
  <c r="M523" s="1"/>
  <c r="L528"/>
  <c r="L530"/>
  <c r="M530" s="1"/>
  <c r="M741"/>
  <c r="I670"/>
  <c r="N756"/>
  <c r="N739"/>
  <c r="N721"/>
  <c r="N710"/>
  <c r="N682"/>
  <c r="M670"/>
  <c r="I741"/>
  <c r="J670"/>
  <c r="H670"/>
  <c r="N701"/>
  <c r="N636"/>
  <c r="N619"/>
  <c r="N731"/>
  <c r="H741"/>
  <c r="N691"/>
  <c r="N652"/>
  <c r="N585"/>
  <c r="N565"/>
  <c r="Y530" l="1"/>
  <c r="T530"/>
  <c r="AC530" s="1"/>
  <c r="Y523"/>
  <c r="T523"/>
  <c r="AC523" s="1"/>
  <c r="Y512"/>
  <c r="T512"/>
  <c r="AC512" s="1"/>
  <c r="Y498"/>
  <c r="T498"/>
  <c r="AC498" s="1"/>
  <c r="Y487"/>
  <c r="T487"/>
  <c r="Y480"/>
  <c r="T480"/>
  <c r="AC480" s="1"/>
  <c r="Y466"/>
  <c r="T466"/>
  <c r="AC466" s="1"/>
  <c r="Y445"/>
  <c r="T445"/>
  <c r="AC445" s="1"/>
  <c r="Y434"/>
  <c r="T434"/>
  <c r="AC434" s="1"/>
  <c r="Y427"/>
  <c r="T427"/>
  <c r="AC427" s="1"/>
  <c r="Y416"/>
  <c r="T416"/>
  <c r="AC416" s="1"/>
  <c r="Y398"/>
  <c r="T398"/>
  <c r="AC398" s="1"/>
  <c r="Y387"/>
  <c r="T387"/>
  <c r="Y373"/>
  <c r="T373"/>
  <c r="AC373" s="1"/>
  <c r="Y362"/>
  <c r="T362"/>
  <c r="AC362" s="1"/>
  <c r="Y355"/>
  <c r="T355"/>
  <c r="AC355" s="1"/>
  <c r="Y344"/>
  <c r="T344"/>
  <c r="AC344" s="1"/>
  <c r="Y330"/>
  <c r="T330"/>
  <c r="AC330" s="1"/>
  <c r="Y326"/>
  <c r="T326"/>
  <c r="AC326" s="1"/>
  <c r="Y315"/>
  <c r="T315"/>
  <c r="AC315" s="1"/>
  <c r="Y304"/>
  <c r="T304"/>
  <c r="Y290"/>
  <c r="T290"/>
  <c r="AC290" s="1"/>
  <c r="Y283"/>
  <c r="T283"/>
  <c r="AC283" s="1"/>
  <c r="Y272"/>
  <c r="T272"/>
  <c r="AC272" s="1"/>
  <c r="Y268"/>
  <c r="T268"/>
  <c r="AC268" s="1"/>
  <c r="Y254"/>
  <c r="T254"/>
  <c r="AC254" s="1"/>
  <c r="Y250"/>
  <c r="T250"/>
  <c r="AC250" s="1"/>
  <c r="Y239"/>
  <c r="T239"/>
  <c r="AC239" s="1"/>
  <c r="Y228"/>
  <c r="T228"/>
  <c r="Y206"/>
  <c r="T206"/>
  <c r="AC206" s="1"/>
  <c r="Y202"/>
  <c r="T202"/>
  <c r="AC202" s="1"/>
  <c r="Y177"/>
  <c r="T177"/>
  <c r="AC177" s="1"/>
  <c r="Y173"/>
  <c r="T173"/>
  <c r="AC173" s="1"/>
  <c r="Y162"/>
  <c r="T162"/>
  <c r="Y130"/>
  <c r="T130"/>
  <c r="AC130" s="1"/>
  <c r="Y126"/>
  <c r="T126"/>
  <c r="Y112"/>
  <c r="T112"/>
  <c r="AC112" s="1"/>
  <c r="Y101"/>
  <c r="T101"/>
  <c r="AC101" s="1"/>
  <c r="Y94"/>
  <c r="T94"/>
  <c r="AC94" s="1"/>
  <c r="Y83"/>
  <c r="T83"/>
  <c r="AC83" s="1"/>
  <c r="Y69"/>
  <c r="T69"/>
  <c r="AC69" s="1"/>
  <c r="Y62"/>
  <c r="T62"/>
  <c r="AC62" s="1"/>
  <c r="Y51"/>
  <c r="T51"/>
  <c r="AC51" s="1"/>
  <c r="Y44"/>
  <c r="T44"/>
  <c r="AC44" s="1"/>
  <c r="Y33"/>
  <c r="T33"/>
  <c r="AC33" s="1"/>
  <c r="Y521"/>
  <c r="T521"/>
  <c r="AC521" s="1"/>
  <c r="Y514"/>
  <c r="T514"/>
  <c r="AC514" s="1"/>
  <c r="Y507"/>
  <c r="T507"/>
  <c r="AC507" s="1"/>
  <c r="Y503"/>
  <c r="T503"/>
  <c r="Y496"/>
  <c r="T496"/>
  <c r="AC496" s="1"/>
  <c r="Y489"/>
  <c r="T489"/>
  <c r="AC489" s="1"/>
  <c r="Y482"/>
  <c r="T482"/>
  <c r="AC482" s="1"/>
  <c r="Y475"/>
  <c r="T475"/>
  <c r="AC475" s="1"/>
  <c r="Y468"/>
  <c r="T468"/>
  <c r="AC468" s="1"/>
  <c r="Y464"/>
  <c r="Y469" s="1"/>
  <c r="T464"/>
  <c r="Y450"/>
  <c r="T450"/>
  <c r="AC450" s="1"/>
  <c r="Y443"/>
  <c r="T443"/>
  <c r="AC443" s="1"/>
  <c r="Y436"/>
  <c r="T436"/>
  <c r="AC436" s="1"/>
  <c r="Y432"/>
  <c r="T432"/>
  <c r="AC432" s="1"/>
  <c r="Y425"/>
  <c r="T425"/>
  <c r="AC425" s="1"/>
  <c r="Y418"/>
  <c r="T418"/>
  <c r="AC418" s="1"/>
  <c r="Y414"/>
  <c r="T414"/>
  <c r="AC414" s="1"/>
  <c r="Y400"/>
  <c r="T400"/>
  <c r="AC400" s="1"/>
  <c r="Y396"/>
  <c r="T396"/>
  <c r="Y389"/>
  <c r="T389"/>
  <c r="AC389" s="1"/>
  <c r="Y382"/>
  <c r="T382"/>
  <c r="AC382" s="1"/>
  <c r="Y375"/>
  <c r="T375"/>
  <c r="AC375" s="1"/>
  <c r="Y371"/>
  <c r="Y376" s="1"/>
  <c r="T371"/>
  <c r="Y364"/>
  <c r="T364"/>
  <c r="AC364" s="1"/>
  <c r="Y360"/>
  <c r="T360"/>
  <c r="Y353"/>
  <c r="T353"/>
  <c r="AC353" s="1"/>
  <c r="Y346"/>
  <c r="T346"/>
  <c r="AC346" s="1"/>
  <c r="Y339"/>
  <c r="T339"/>
  <c r="AC339" s="1"/>
  <c r="Y335"/>
  <c r="T335"/>
  <c r="AC335" s="1"/>
  <c r="Y328"/>
  <c r="T328"/>
  <c r="AC328" s="1"/>
  <c r="Y324"/>
  <c r="T324"/>
  <c r="AC324" s="1"/>
  <c r="Y317"/>
  <c r="T317"/>
  <c r="AC317" s="1"/>
  <c r="Y313"/>
  <c r="T313"/>
  <c r="AC313" s="1"/>
  <c r="Y306"/>
  <c r="T306"/>
  <c r="AC306" s="1"/>
  <c r="Y299"/>
  <c r="T299"/>
  <c r="AC299" s="1"/>
  <c r="Y292"/>
  <c r="T292"/>
  <c r="AC292" s="1"/>
  <c r="Y288"/>
  <c r="Y294" s="1"/>
  <c r="T288"/>
  <c r="AC288" s="1"/>
  <c r="Y281"/>
  <c r="T281"/>
  <c r="AC281" s="1"/>
  <c r="Y277"/>
  <c r="T277"/>
  <c r="Y270"/>
  <c r="T270"/>
  <c r="AC270" s="1"/>
  <c r="Y266"/>
  <c r="Y274" s="1"/>
  <c r="T266"/>
  <c r="Y259"/>
  <c r="T259"/>
  <c r="AC259" s="1"/>
  <c r="Y252"/>
  <c r="T252"/>
  <c r="AC252" s="1"/>
  <c r="Y248"/>
  <c r="T248"/>
  <c r="AC248" s="1"/>
  <c r="Y241"/>
  <c r="T241"/>
  <c r="AC241" s="1"/>
  <c r="Y237"/>
  <c r="T237"/>
  <c r="Y230"/>
  <c r="T230"/>
  <c r="AC230" s="1"/>
  <c r="Y215"/>
  <c r="T215"/>
  <c r="AC215" s="1"/>
  <c r="Y211"/>
  <c r="T211"/>
  <c r="Y204"/>
  <c r="T204"/>
  <c r="AC204" s="1"/>
  <c r="Y200"/>
  <c r="Y208" s="1"/>
  <c r="T200"/>
  <c r="Y182"/>
  <c r="T182"/>
  <c r="AC182" s="1"/>
  <c r="Y175"/>
  <c r="T175"/>
  <c r="AC175" s="1"/>
  <c r="Y168"/>
  <c r="T168"/>
  <c r="AC168" s="1"/>
  <c r="Y164"/>
  <c r="T164"/>
  <c r="AC164" s="1"/>
  <c r="Y157"/>
  <c r="T157"/>
  <c r="AC157" s="1"/>
  <c r="Y153"/>
  <c r="T153"/>
  <c r="AC153" s="1"/>
  <c r="Y128"/>
  <c r="Y131" s="1"/>
  <c r="T128"/>
  <c r="AC128" s="1"/>
  <c r="Y121"/>
  <c r="T121"/>
  <c r="AC121" s="1"/>
  <c r="Y117"/>
  <c r="T117"/>
  <c r="AC117" s="1"/>
  <c r="Y110"/>
  <c r="T110"/>
  <c r="AC110" s="1"/>
  <c r="Y103"/>
  <c r="T103"/>
  <c r="AC103" s="1"/>
  <c r="Y96"/>
  <c r="T96"/>
  <c r="AC96" s="1"/>
  <c r="Y92"/>
  <c r="Y97" s="1"/>
  <c r="T92"/>
  <c r="Y85"/>
  <c r="T85"/>
  <c r="AC85" s="1"/>
  <c r="Y78"/>
  <c r="T78"/>
  <c r="AC78" s="1"/>
  <c r="Y71"/>
  <c r="T71"/>
  <c r="AC71" s="1"/>
  <c r="Y67"/>
  <c r="Y72" s="1"/>
  <c r="T67"/>
  <c r="Y60"/>
  <c r="T60"/>
  <c r="AC60" s="1"/>
  <c r="Y53"/>
  <c r="Y55" s="1"/>
  <c r="T53"/>
  <c r="AC53" s="1"/>
  <c r="Y46"/>
  <c r="T46"/>
  <c r="AC46" s="1"/>
  <c r="Y42"/>
  <c r="Y47" s="1"/>
  <c r="T42"/>
  <c r="Y35"/>
  <c r="T35"/>
  <c r="AC35" s="1"/>
  <c r="Y28"/>
  <c r="T28"/>
  <c r="AC28" s="1"/>
  <c r="Y419"/>
  <c r="Y531"/>
  <c r="Y500"/>
  <c r="Y331"/>
  <c r="Y255"/>
  <c r="Y104"/>
  <c r="Y484"/>
  <c r="Y437"/>
  <c r="Y516"/>
  <c r="Y178"/>
  <c r="Y519"/>
  <c r="Y524" s="1"/>
  <c r="T519"/>
  <c r="Y505"/>
  <c r="T505"/>
  <c r="AC505" s="1"/>
  <c r="Y491"/>
  <c r="T491"/>
  <c r="AC491" s="1"/>
  <c r="Y473"/>
  <c r="Y476" s="1"/>
  <c r="T473"/>
  <c r="Y452"/>
  <c r="Y454" s="1"/>
  <c r="T452"/>
  <c r="AC452" s="1"/>
  <c r="Y441"/>
  <c r="Y446" s="1"/>
  <c r="T441"/>
  <c r="AC441" s="1"/>
  <c r="Y423"/>
  <c r="T423"/>
  <c r="AC423" s="1"/>
  <c r="Y402"/>
  <c r="T402"/>
  <c r="AC402" s="1"/>
  <c r="Y391"/>
  <c r="T391"/>
  <c r="AC391" s="1"/>
  <c r="Y380"/>
  <c r="Y384" s="1"/>
  <c r="T380"/>
  <c r="AC380" s="1"/>
  <c r="Y366"/>
  <c r="T366"/>
  <c r="AC366" s="1"/>
  <c r="Y348"/>
  <c r="T348"/>
  <c r="AC348" s="1"/>
  <c r="Y337"/>
  <c r="Y340" s="1"/>
  <c r="T337"/>
  <c r="AC337" s="1"/>
  <c r="Y319"/>
  <c r="Y320" s="1"/>
  <c r="T319"/>
  <c r="AC319" s="1"/>
  <c r="Y308"/>
  <c r="T308"/>
  <c r="AC308" s="1"/>
  <c r="Y297"/>
  <c r="T297"/>
  <c r="AC297" s="1"/>
  <c r="Y279"/>
  <c r="T279"/>
  <c r="AC279" s="1"/>
  <c r="Y261"/>
  <c r="T261"/>
  <c r="AC261" s="1"/>
  <c r="Y243"/>
  <c r="Y244" s="1"/>
  <c r="T243"/>
  <c r="AC243" s="1"/>
  <c r="Y232"/>
  <c r="T232"/>
  <c r="AC232" s="1"/>
  <c r="Y213"/>
  <c r="T213"/>
  <c r="AC213" s="1"/>
  <c r="Y184"/>
  <c r="Y186" s="1"/>
  <c r="T184"/>
  <c r="AC184" s="1"/>
  <c r="Y166"/>
  <c r="T166"/>
  <c r="AC166" s="1"/>
  <c r="Y155"/>
  <c r="T155"/>
  <c r="AC155" s="1"/>
  <c r="Y119"/>
  <c r="Y122" s="1"/>
  <c r="T119"/>
  <c r="AC119" s="1"/>
  <c r="Y108"/>
  <c r="Y113" s="1"/>
  <c r="T108"/>
  <c r="Y87"/>
  <c r="T87"/>
  <c r="AC87" s="1"/>
  <c r="Y76"/>
  <c r="Y80" s="1"/>
  <c r="T76"/>
  <c r="AC76" s="1"/>
  <c r="Y58"/>
  <c r="Y64" s="1"/>
  <c r="T58"/>
  <c r="Y37"/>
  <c r="T37"/>
  <c r="AC37" s="1"/>
  <c r="Y26"/>
  <c r="Y30" s="1"/>
  <c r="T26"/>
  <c r="AC26" s="1"/>
  <c r="AC527"/>
  <c r="T531"/>
  <c r="AC495"/>
  <c r="T500"/>
  <c r="AC449"/>
  <c r="T454"/>
  <c r="AC413"/>
  <c r="AC352"/>
  <c r="T357"/>
  <c r="AC334"/>
  <c r="T340"/>
  <c r="AC323"/>
  <c r="T331"/>
  <c r="AC312"/>
  <c r="T320"/>
  <c r="AC289"/>
  <c r="AC258"/>
  <c r="T263"/>
  <c r="AC247"/>
  <c r="T255"/>
  <c r="AC181"/>
  <c r="AC152"/>
  <c r="AC116"/>
  <c r="AC122" s="1"/>
  <c r="T104"/>
  <c r="AC100"/>
  <c r="T89"/>
  <c r="AC84"/>
  <c r="AC75"/>
  <c r="AC80" s="1"/>
  <c r="AC50"/>
  <c r="T55"/>
  <c r="AC34"/>
  <c r="AC479"/>
  <c r="T484"/>
  <c r="AC422"/>
  <c r="T428"/>
  <c r="AC379"/>
  <c r="T384"/>
  <c r="AC343"/>
  <c r="AC25"/>
  <c r="AC30" s="1"/>
  <c r="AC22"/>
  <c r="AC431"/>
  <c r="AC437" s="1"/>
  <c r="AC511"/>
  <c r="AC516" s="1"/>
  <c r="AC440"/>
  <c r="AC446" s="1"/>
  <c r="AC172"/>
  <c r="AC178" s="1"/>
  <c r="N523"/>
  <c r="Q523"/>
  <c r="AA523" s="1"/>
  <c r="N519"/>
  <c r="Q519"/>
  <c r="AA519" s="1"/>
  <c r="N505"/>
  <c r="Q505"/>
  <c r="AA505" s="1"/>
  <c r="N498"/>
  <c r="Q498"/>
  <c r="AA498" s="1"/>
  <c r="N487"/>
  <c r="Q487"/>
  <c r="AA487" s="1"/>
  <c r="N473"/>
  <c r="Q473"/>
  <c r="AA473" s="1"/>
  <c r="N466"/>
  <c r="Q466"/>
  <c r="AA466" s="1"/>
  <c r="N445"/>
  <c r="Q445"/>
  <c r="AA445" s="1"/>
  <c r="N434"/>
  <c r="Q434"/>
  <c r="AA434" s="1"/>
  <c r="N427"/>
  <c r="Q427"/>
  <c r="AA427" s="1"/>
  <c r="N416"/>
  <c r="Q416"/>
  <c r="AA416" s="1"/>
  <c r="N398"/>
  <c r="Q398"/>
  <c r="AA398" s="1"/>
  <c r="N387"/>
  <c r="Q387"/>
  <c r="AA387" s="1"/>
  <c r="N380"/>
  <c r="Q380"/>
  <c r="AA380" s="1"/>
  <c r="N366"/>
  <c r="Q366"/>
  <c r="AA366" s="1"/>
  <c r="N362"/>
  <c r="Q362"/>
  <c r="AA362" s="1"/>
  <c r="N348"/>
  <c r="Q348"/>
  <c r="AA348" s="1"/>
  <c r="N337"/>
  <c r="Q337"/>
  <c r="AA337" s="1"/>
  <c r="N330"/>
  <c r="Q330"/>
  <c r="AA330" s="1"/>
  <c r="N319"/>
  <c r="Q319"/>
  <c r="AA319" s="1"/>
  <c r="N308"/>
  <c r="Q308"/>
  <c r="AA308" s="1"/>
  <c r="N304"/>
  <c r="Q304"/>
  <c r="AA304" s="1"/>
  <c r="N290"/>
  <c r="Q290"/>
  <c r="AA290" s="1"/>
  <c r="N279"/>
  <c r="Q279"/>
  <c r="AA279" s="1"/>
  <c r="N272"/>
  <c r="Q272"/>
  <c r="AA272" s="1"/>
  <c r="N261"/>
  <c r="Q261"/>
  <c r="AA261" s="1"/>
  <c r="N250"/>
  <c r="Q250"/>
  <c r="AA250" s="1"/>
  <c r="N239"/>
  <c r="Q239"/>
  <c r="AA239" s="1"/>
  <c r="N232"/>
  <c r="Q232"/>
  <c r="AA232" s="1"/>
  <c r="N213"/>
  <c r="Q213"/>
  <c r="AA213" s="1"/>
  <c r="N202"/>
  <c r="Q202"/>
  <c r="AA202" s="1"/>
  <c r="N184"/>
  <c r="Q184"/>
  <c r="AA184" s="1"/>
  <c r="N173"/>
  <c r="Q173"/>
  <c r="AA173" s="1"/>
  <c r="N166"/>
  <c r="Q166"/>
  <c r="AA166" s="1"/>
  <c r="N155"/>
  <c r="Q155"/>
  <c r="AA155" s="1"/>
  <c r="N130"/>
  <c r="Q130"/>
  <c r="AA130" s="1"/>
  <c r="N119"/>
  <c r="Q119"/>
  <c r="AA119" s="1"/>
  <c r="N108"/>
  <c r="Q108"/>
  <c r="AA108" s="1"/>
  <c r="N101"/>
  <c r="Q101"/>
  <c r="AA101" s="1"/>
  <c r="N87"/>
  <c r="Q87"/>
  <c r="AA87" s="1"/>
  <c r="N83"/>
  <c r="Q83"/>
  <c r="AA83" s="1"/>
  <c r="N69"/>
  <c r="Q69"/>
  <c r="AA69" s="1"/>
  <c r="N58"/>
  <c r="Q58"/>
  <c r="AA58" s="1"/>
  <c r="N44"/>
  <c r="Q44"/>
  <c r="AA44" s="1"/>
  <c r="N37"/>
  <c r="Q37"/>
  <c r="AA37" s="1"/>
  <c r="N33"/>
  <c r="Q33"/>
  <c r="AA33" s="1"/>
  <c r="N521"/>
  <c r="Q521"/>
  <c r="AA521" s="1"/>
  <c r="N514"/>
  <c r="Q514"/>
  <c r="AA514" s="1"/>
  <c r="N507"/>
  <c r="Q507"/>
  <c r="AA507" s="1"/>
  <c r="N503"/>
  <c r="Q503"/>
  <c r="N496"/>
  <c r="Q496"/>
  <c r="AA496" s="1"/>
  <c r="AA500" s="1"/>
  <c r="N489"/>
  <c r="Q489"/>
  <c r="AA489" s="1"/>
  <c r="N482"/>
  <c r="Q482"/>
  <c r="AA482" s="1"/>
  <c r="N475"/>
  <c r="Q475"/>
  <c r="AA475" s="1"/>
  <c r="N468"/>
  <c r="Q468"/>
  <c r="AA468" s="1"/>
  <c r="N464"/>
  <c r="Q464"/>
  <c r="N450"/>
  <c r="Q450"/>
  <c r="AA450" s="1"/>
  <c r="N443"/>
  <c r="Q443"/>
  <c r="AA443" s="1"/>
  <c r="N436"/>
  <c r="Q436"/>
  <c r="AA436" s="1"/>
  <c r="N432"/>
  <c r="Q432"/>
  <c r="AA432" s="1"/>
  <c r="AA437" s="1"/>
  <c r="N425"/>
  <c r="Q425"/>
  <c r="AA425" s="1"/>
  <c r="N418"/>
  <c r="Q418"/>
  <c r="AA418" s="1"/>
  <c r="N414"/>
  <c r="Q414"/>
  <c r="AA414" s="1"/>
  <c r="AA419" s="1"/>
  <c r="N400"/>
  <c r="Q400"/>
  <c r="AA400" s="1"/>
  <c r="N396"/>
  <c r="Q396"/>
  <c r="AA396" s="1"/>
  <c r="N389"/>
  <c r="Q389"/>
  <c r="AA389" s="1"/>
  <c r="N382"/>
  <c r="Q382"/>
  <c r="AA382" s="1"/>
  <c r="N375"/>
  <c r="Q375"/>
  <c r="AA375" s="1"/>
  <c r="N371"/>
  <c r="Q371"/>
  <c r="AA371" s="1"/>
  <c r="N364"/>
  <c r="Q364"/>
  <c r="AA364" s="1"/>
  <c r="N360"/>
  <c r="Q360"/>
  <c r="N353"/>
  <c r="Q353"/>
  <c r="AA353" s="1"/>
  <c r="N346"/>
  <c r="Q346"/>
  <c r="AA346" s="1"/>
  <c r="N339"/>
  <c r="Q339"/>
  <c r="AA339" s="1"/>
  <c r="N335"/>
  <c r="Q335"/>
  <c r="N328"/>
  <c r="Q328"/>
  <c r="AA328" s="1"/>
  <c r="N324"/>
  <c r="Q324"/>
  <c r="AA324" s="1"/>
  <c r="N317"/>
  <c r="Q317"/>
  <c r="AA317" s="1"/>
  <c r="N313"/>
  <c r="Q313"/>
  <c r="AA313" s="1"/>
  <c r="N306"/>
  <c r="Q306"/>
  <c r="AA306" s="1"/>
  <c r="N299"/>
  <c r="Q299"/>
  <c r="AA299" s="1"/>
  <c r="N292"/>
  <c r="Q292"/>
  <c r="AA292" s="1"/>
  <c r="N288"/>
  <c r="Q288"/>
  <c r="N281"/>
  <c r="Q281"/>
  <c r="AA281" s="1"/>
  <c r="N277"/>
  <c r="Q277"/>
  <c r="AA277" s="1"/>
  <c r="N270"/>
  <c r="Q270"/>
  <c r="AA270" s="1"/>
  <c r="N266"/>
  <c r="Q266"/>
  <c r="AA266" s="1"/>
  <c r="N259"/>
  <c r="Q259"/>
  <c r="AA259" s="1"/>
  <c r="AA263" s="1"/>
  <c r="N252"/>
  <c r="Q252"/>
  <c r="AA252" s="1"/>
  <c r="N248"/>
  <c r="Q248"/>
  <c r="AA248" s="1"/>
  <c r="N241"/>
  <c r="Q241"/>
  <c r="AA241" s="1"/>
  <c r="N237"/>
  <c r="Q237"/>
  <c r="AA237" s="1"/>
  <c r="N230"/>
  <c r="Q230"/>
  <c r="AA230" s="1"/>
  <c r="N215"/>
  <c r="Q215"/>
  <c r="AA215" s="1"/>
  <c r="N211"/>
  <c r="Q211"/>
  <c r="AA211" s="1"/>
  <c r="AA217" s="1"/>
  <c r="N204"/>
  <c r="Q204"/>
  <c r="AA204" s="1"/>
  <c r="N200"/>
  <c r="Q200"/>
  <c r="AA200" s="1"/>
  <c r="N182"/>
  <c r="Q182"/>
  <c r="AA182" s="1"/>
  <c r="AA186" s="1"/>
  <c r="N175"/>
  <c r="Q175"/>
  <c r="AA175" s="1"/>
  <c r="N168"/>
  <c r="Q168"/>
  <c r="AA168" s="1"/>
  <c r="N164"/>
  <c r="Q164"/>
  <c r="AA164" s="1"/>
  <c r="N157"/>
  <c r="Q157"/>
  <c r="AA157" s="1"/>
  <c r="N153"/>
  <c r="Q153"/>
  <c r="AA153" s="1"/>
  <c r="AA159" s="1"/>
  <c r="N128"/>
  <c r="Q128"/>
  <c r="AA128" s="1"/>
  <c r="N121"/>
  <c r="Q121"/>
  <c r="AA121" s="1"/>
  <c r="N117"/>
  <c r="Q117"/>
  <c r="N110"/>
  <c r="Q110"/>
  <c r="AA110" s="1"/>
  <c r="N103"/>
  <c r="Q103"/>
  <c r="AA103" s="1"/>
  <c r="N96"/>
  <c r="Q96"/>
  <c r="AA96" s="1"/>
  <c r="N92"/>
  <c r="Q92"/>
  <c r="AA92" s="1"/>
  <c r="N85"/>
  <c r="Q85"/>
  <c r="AA85" s="1"/>
  <c r="N78"/>
  <c r="Q78"/>
  <c r="AA78" s="1"/>
  <c r="N71"/>
  <c r="Q71"/>
  <c r="AA71" s="1"/>
  <c r="N67"/>
  <c r="Q67"/>
  <c r="N60"/>
  <c r="Q60"/>
  <c r="AA60" s="1"/>
  <c r="N53"/>
  <c r="Q53"/>
  <c r="AA53" s="1"/>
  <c r="N46"/>
  <c r="Q46"/>
  <c r="AA46" s="1"/>
  <c r="N42"/>
  <c r="Q42"/>
  <c r="N35"/>
  <c r="Q35"/>
  <c r="AA35" s="1"/>
  <c r="N28"/>
  <c r="Q28"/>
  <c r="AA28" s="1"/>
  <c r="N530"/>
  <c r="Q530"/>
  <c r="N512"/>
  <c r="Q512"/>
  <c r="N491"/>
  <c r="Q491"/>
  <c r="AA491" s="1"/>
  <c r="N480"/>
  <c r="Q480"/>
  <c r="N452"/>
  <c r="Q452"/>
  <c r="N441"/>
  <c r="Q441"/>
  <c r="N423"/>
  <c r="Q423"/>
  <c r="N402"/>
  <c r="Q402"/>
  <c r="AA402" s="1"/>
  <c r="N391"/>
  <c r="Q391"/>
  <c r="AA391" s="1"/>
  <c r="N373"/>
  <c r="Q373"/>
  <c r="AA373" s="1"/>
  <c r="N355"/>
  <c r="Q355"/>
  <c r="N344"/>
  <c r="Q344"/>
  <c r="N326"/>
  <c r="Q326"/>
  <c r="AA326" s="1"/>
  <c r="N315"/>
  <c r="Q315"/>
  <c r="AA315" s="1"/>
  <c r="N297"/>
  <c r="Q297"/>
  <c r="AA297" s="1"/>
  <c r="N283"/>
  <c r="Q283"/>
  <c r="AA283" s="1"/>
  <c r="N268"/>
  <c r="Q268"/>
  <c r="AA268" s="1"/>
  <c r="N254"/>
  <c r="Q254"/>
  <c r="AA254" s="1"/>
  <c r="N243"/>
  <c r="Q243"/>
  <c r="AA243" s="1"/>
  <c r="N228"/>
  <c r="Q228"/>
  <c r="N206"/>
  <c r="Q206"/>
  <c r="AA206" s="1"/>
  <c r="N177"/>
  <c r="Q177"/>
  <c r="AA177" s="1"/>
  <c r="N162"/>
  <c r="Q162"/>
  <c r="N126"/>
  <c r="Q126"/>
  <c r="N112"/>
  <c r="Q112"/>
  <c r="AA112" s="1"/>
  <c r="N94"/>
  <c r="Q94"/>
  <c r="AA94" s="1"/>
  <c r="N76"/>
  <c r="Q76"/>
  <c r="N62"/>
  <c r="Q62"/>
  <c r="AA62" s="1"/>
  <c r="N51"/>
  <c r="Q51"/>
  <c r="N26"/>
  <c r="Q26"/>
  <c r="AA26" s="1"/>
  <c r="N741"/>
  <c r="N670"/>
  <c r="T178" l="1"/>
  <c r="T446"/>
  <c r="T516"/>
  <c r="T437"/>
  <c r="AC384"/>
  <c r="AC484"/>
  <c r="T39"/>
  <c r="AC55"/>
  <c r="AC104"/>
  <c r="T122"/>
  <c r="T159"/>
  <c r="AC186"/>
  <c r="AC255"/>
  <c r="AC263"/>
  <c r="T294"/>
  <c r="T301" s="1"/>
  <c r="AC320"/>
  <c r="AC331"/>
  <c r="AC340"/>
  <c r="AC357"/>
  <c r="T419"/>
  <c r="AC454"/>
  <c r="AC500"/>
  <c r="AC531"/>
  <c r="Y357"/>
  <c r="Q384"/>
  <c r="AC428"/>
  <c r="Y263"/>
  <c r="T186"/>
  <c r="T80"/>
  <c r="T30"/>
  <c r="AA244"/>
  <c r="AA320"/>
  <c r="Q263"/>
  <c r="AA255"/>
  <c r="AA331"/>
  <c r="Q186"/>
  <c r="Q500"/>
  <c r="Q159"/>
  <c r="Q217"/>
  <c r="Q437"/>
  <c r="Q476"/>
  <c r="AA104"/>
  <c r="AA113"/>
  <c r="AA178"/>
  <c r="AA384"/>
  <c r="AA476"/>
  <c r="Q47"/>
  <c r="AA42"/>
  <c r="AA47" s="1"/>
  <c r="Q72"/>
  <c r="AA67"/>
  <c r="AA72" s="1"/>
  <c r="Q122"/>
  <c r="AA117"/>
  <c r="AA122" s="1"/>
  <c r="Q294"/>
  <c r="Q301" s="1"/>
  <c r="AA288"/>
  <c r="AA294" s="1"/>
  <c r="AA301" s="1"/>
  <c r="Q340"/>
  <c r="AA335"/>
  <c r="AA340" s="1"/>
  <c r="Q368"/>
  <c r="AA360"/>
  <c r="AA368" s="1"/>
  <c r="Q469"/>
  <c r="AA464"/>
  <c r="AA469" s="1"/>
  <c r="Q508"/>
  <c r="AA503"/>
  <c r="AA508" s="1"/>
  <c r="AC159"/>
  <c r="AC419"/>
  <c r="AC58"/>
  <c r="AC64" s="1"/>
  <c r="T64"/>
  <c r="T113"/>
  <c r="AC108"/>
  <c r="AC113" s="1"/>
  <c r="T476"/>
  <c r="AC473"/>
  <c r="AC476" s="1"/>
  <c r="T524"/>
  <c r="AC519"/>
  <c r="AC524" s="1"/>
  <c r="Q208"/>
  <c r="AA97"/>
  <c r="AA208"/>
  <c r="AA274"/>
  <c r="AA285"/>
  <c r="AA376"/>
  <c r="AA403"/>
  <c r="AA39"/>
  <c r="AA64"/>
  <c r="AA89"/>
  <c r="AA309"/>
  <c r="AA393"/>
  <c r="AA492"/>
  <c r="AA524"/>
  <c r="AA30"/>
  <c r="Y159"/>
  <c r="Y217"/>
  <c r="Y285"/>
  <c r="Y301"/>
  <c r="Y368"/>
  <c r="Y403"/>
  <c r="Y508"/>
  <c r="Y39"/>
  <c r="Y89"/>
  <c r="Y169"/>
  <c r="Y233"/>
  <c r="Y309"/>
  <c r="Y393"/>
  <c r="Y492"/>
  <c r="Q55"/>
  <c r="AA51"/>
  <c r="AA55" s="1"/>
  <c r="Q80"/>
  <c r="AA76"/>
  <c r="AA80" s="1"/>
  <c r="Q131"/>
  <c r="AA126"/>
  <c r="AA131" s="1"/>
  <c r="Q169"/>
  <c r="AA162"/>
  <c r="AA169" s="1"/>
  <c r="Q233"/>
  <c r="AA228"/>
  <c r="AA233" s="1"/>
  <c r="AA344"/>
  <c r="Q357"/>
  <c r="AA355"/>
  <c r="AA357" s="1"/>
  <c r="Q428"/>
  <c r="AA423"/>
  <c r="AA428" s="1"/>
  <c r="Q446"/>
  <c r="AA441"/>
  <c r="AA446" s="1"/>
  <c r="Q454"/>
  <c r="AA452"/>
  <c r="AA454" s="1"/>
  <c r="Q484"/>
  <c r="AA480"/>
  <c r="AA484" s="1"/>
  <c r="Q516"/>
  <c r="AA512"/>
  <c r="AA516" s="1"/>
  <c r="Q531"/>
  <c r="AA530"/>
  <c r="AA531" s="1"/>
  <c r="Y133"/>
  <c r="AC42"/>
  <c r="AC47" s="1"/>
  <c r="T47"/>
  <c r="AC67"/>
  <c r="AC72" s="1"/>
  <c r="T72"/>
  <c r="AC92"/>
  <c r="AC97" s="1"/>
  <c r="T97"/>
  <c r="T208"/>
  <c r="AC200"/>
  <c r="AC208" s="1"/>
  <c r="AC211"/>
  <c r="AC217" s="1"/>
  <c r="T217"/>
  <c r="T244"/>
  <c r="AC237"/>
  <c r="AC244" s="1"/>
  <c r="AC266"/>
  <c r="AC274" s="1"/>
  <c r="T274"/>
  <c r="T285"/>
  <c r="AC277"/>
  <c r="AC285" s="1"/>
  <c r="T368"/>
  <c r="AC360"/>
  <c r="AC368" s="1"/>
  <c r="AC371"/>
  <c r="AC376" s="1"/>
  <c r="T376"/>
  <c r="AC396"/>
  <c r="AC403" s="1"/>
  <c r="T403"/>
  <c r="AC464"/>
  <c r="AC469" s="1"/>
  <c r="T469"/>
  <c r="AC503"/>
  <c r="AC508" s="1"/>
  <c r="T508"/>
  <c r="T131"/>
  <c r="AC126"/>
  <c r="AC131" s="1"/>
  <c r="AC162"/>
  <c r="AC169" s="1"/>
  <c r="T169"/>
  <c r="T233"/>
  <c r="AC228"/>
  <c r="AC233" s="1"/>
  <c r="T309"/>
  <c r="AC304"/>
  <c r="AC309" s="1"/>
  <c r="AC387"/>
  <c r="AC393" s="1"/>
  <c r="T393"/>
  <c r="AC487"/>
  <c r="AC492" s="1"/>
  <c r="T492"/>
  <c r="Y428"/>
  <c r="AC294"/>
  <c r="AC301" s="1"/>
  <c r="AC39"/>
  <c r="AC89"/>
  <c r="Q97"/>
  <c r="Q244"/>
  <c r="Q255"/>
  <c r="Q274"/>
  <c r="Q285"/>
  <c r="Q320"/>
  <c r="Q331"/>
  <c r="Q376"/>
  <c r="Q403"/>
  <c r="Q419"/>
  <c r="Q39"/>
  <c r="Q64"/>
  <c r="Q89"/>
  <c r="Q104"/>
  <c r="Q113"/>
  <c r="Q178"/>
  <c r="Q309"/>
  <c r="Q393"/>
  <c r="Q492"/>
  <c r="Q524"/>
  <c r="Q30"/>
  <c r="I144"/>
  <c r="Q133" l="1"/>
  <c r="Q146" s="1"/>
  <c r="Y538"/>
  <c r="Y543" s="1"/>
  <c r="T133"/>
  <c r="T146" s="1"/>
  <c r="Y146"/>
  <c r="AC538"/>
  <c r="AC543" s="1"/>
  <c r="T538"/>
  <c r="T543" s="1"/>
  <c r="AC133"/>
  <c r="AC146" s="1"/>
  <c r="AA538"/>
  <c r="AA543" s="1"/>
  <c r="AA133"/>
  <c r="AA146" s="1"/>
  <c r="Q538"/>
  <c r="Q543" s="1"/>
  <c r="M405"/>
  <c r="Y405" s="1"/>
  <c r="Q405" l="1"/>
  <c r="AA405" s="1"/>
  <c r="T405"/>
  <c r="AC405" s="1"/>
  <c r="H144"/>
  <c r="H64" l="1"/>
  <c r="M22"/>
  <c r="H47"/>
  <c r="I122"/>
  <c r="I516"/>
  <c r="H469"/>
  <c r="I97"/>
  <c r="M72"/>
  <c r="M476"/>
  <c r="M536"/>
  <c r="I233"/>
  <c r="M524"/>
  <c r="J30"/>
  <c r="H39"/>
  <c r="J428"/>
  <c r="M89"/>
  <c r="H536"/>
  <c r="M492"/>
  <c r="M461"/>
  <c r="M508"/>
  <c r="J531"/>
  <c r="J274"/>
  <c r="I30"/>
  <c r="H233"/>
  <c r="J309"/>
  <c r="H131"/>
  <c r="I64"/>
  <c r="M169"/>
  <c r="M454"/>
  <c r="H294"/>
  <c r="H301" s="1"/>
  <c r="J244"/>
  <c r="J263"/>
  <c r="M47"/>
  <c r="M30"/>
  <c r="I169"/>
  <c r="J484"/>
  <c r="J22"/>
  <c r="J39"/>
  <c r="I225"/>
  <c r="H516"/>
  <c r="H178"/>
  <c r="M331"/>
  <c r="H255"/>
  <c r="I89"/>
  <c r="H320"/>
  <c r="M340"/>
  <c r="I508"/>
  <c r="M104"/>
  <c r="I244"/>
  <c r="H97"/>
  <c r="M419"/>
  <c r="M437"/>
  <c r="J64"/>
  <c r="J357"/>
  <c r="H376"/>
  <c r="M403"/>
  <c r="I178"/>
  <c r="I309"/>
  <c r="H309"/>
  <c r="J113"/>
  <c r="I55"/>
  <c r="J368"/>
  <c r="M368"/>
  <c r="J524"/>
  <c r="I113"/>
  <c r="J403"/>
  <c r="M225"/>
  <c r="J446"/>
  <c r="I104"/>
  <c r="J320"/>
  <c r="I349"/>
  <c r="J104"/>
  <c r="J419"/>
  <c r="I274"/>
  <c r="I437"/>
  <c r="H30"/>
  <c r="H492"/>
  <c r="I80"/>
  <c r="I331"/>
  <c r="J131"/>
  <c r="M159"/>
  <c r="I263"/>
  <c r="M376"/>
  <c r="I22"/>
  <c r="M208"/>
  <c r="H186"/>
  <c r="I39"/>
  <c r="I524"/>
  <c r="H225"/>
  <c r="M197"/>
  <c r="H393"/>
  <c r="H104"/>
  <c r="J208"/>
  <c r="H484"/>
  <c r="H524"/>
  <c r="I208"/>
  <c r="J47"/>
  <c r="M122"/>
  <c r="H500"/>
  <c r="M233"/>
  <c r="J454"/>
  <c r="I217"/>
  <c r="I285"/>
  <c r="H508"/>
  <c r="J255"/>
  <c r="H403"/>
  <c r="I476"/>
  <c r="J233"/>
  <c r="I376"/>
  <c r="I255"/>
  <c r="H197"/>
  <c r="J169"/>
  <c r="I403"/>
  <c r="M357"/>
  <c r="J80"/>
  <c r="H217"/>
  <c r="H384"/>
  <c r="I500"/>
  <c r="J285"/>
  <c r="I340"/>
  <c r="J340"/>
  <c r="J186"/>
  <c r="H285"/>
  <c r="I492"/>
  <c r="M469"/>
  <c r="I294"/>
  <c r="I197"/>
  <c r="H454"/>
  <c r="H72"/>
  <c r="J516"/>
  <c r="M484"/>
  <c r="J384"/>
  <c r="M309"/>
  <c r="I159"/>
  <c r="H89"/>
  <c r="I484"/>
  <c r="M446"/>
  <c r="J122"/>
  <c r="I47"/>
  <c r="H349"/>
  <c r="H159"/>
  <c r="I461"/>
  <c r="M39"/>
  <c r="H274"/>
  <c r="H476"/>
  <c r="I419"/>
  <c r="H263"/>
  <c r="J217"/>
  <c r="I72"/>
  <c r="I454"/>
  <c r="M113"/>
  <c r="H428"/>
  <c r="J461"/>
  <c r="I186"/>
  <c r="J492"/>
  <c r="I131"/>
  <c r="M178"/>
  <c r="H357"/>
  <c r="I357"/>
  <c r="J393"/>
  <c r="M384"/>
  <c r="M255"/>
  <c r="M186"/>
  <c r="H437"/>
  <c r="H113"/>
  <c r="H80"/>
  <c r="I320"/>
  <c r="J225"/>
  <c r="J476"/>
  <c r="H208"/>
  <c r="H169"/>
  <c r="J376"/>
  <c r="J536"/>
  <c r="J72"/>
  <c r="H531"/>
  <c r="M294"/>
  <c r="H55"/>
  <c r="H22"/>
  <c r="M516"/>
  <c r="J55"/>
  <c r="M80"/>
  <c r="I428"/>
  <c r="I368"/>
  <c r="M285"/>
  <c r="I446"/>
  <c r="M500"/>
  <c r="I531"/>
  <c r="H244"/>
  <c r="J437"/>
  <c r="M97"/>
  <c r="M274"/>
  <c r="M131"/>
  <c r="M320"/>
  <c r="H368"/>
  <c r="J97"/>
  <c r="M55"/>
  <c r="H446"/>
  <c r="I384"/>
  <c r="J178"/>
  <c r="J197"/>
  <c r="I536"/>
  <c r="J508"/>
  <c r="M428"/>
  <c r="M531"/>
  <c r="M393"/>
  <c r="I393"/>
  <c r="J500"/>
  <c r="M263"/>
  <c r="J159"/>
  <c r="M244"/>
  <c r="I469"/>
  <c r="H419"/>
  <c r="M64"/>
  <c r="H340"/>
  <c r="H331"/>
  <c r="J469"/>
  <c r="M217"/>
  <c r="J89"/>
  <c r="H122"/>
  <c r="J294"/>
  <c r="J331"/>
  <c r="H461"/>
  <c r="J301" l="1"/>
  <c r="N47"/>
  <c r="N500"/>
  <c r="N516"/>
  <c r="N97"/>
  <c r="N531"/>
  <c r="N263"/>
  <c r="N492"/>
  <c r="N285"/>
  <c r="N178"/>
  <c r="N64"/>
  <c r="J133"/>
  <c r="H538"/>
  <c r="H543" s="1"/>
  <c r="N159"/>
  <c r="N217"/>
  <c r="N393"/>
  <c r="N484"/>
  <c r="N331"/>
  <c r="N55"/>
  <c r="N186"/>
  <c r="N368"/>
  <c r="N104"/>
  <c r="N80"/>
  <c r="H407"/>
  <c r="N208"/>
  <c r="J538"/>
  <c r="N225"/>
  <c r="N508"/>
  <c r="N274"/>
  <c r="N384"/>
  <c r="N122"/>
  <c r="H133"/>
  <c r="H146" s="1"/>
  <c r="N244"/>
  <c r="N255"/>
  <c r="N113"/>
  <c r="N233"/>
  <c r="M538"/>
  <c r="N72"/>
  <c r="N320"/>
  <c r="N309"/>
  <c r="N419"/>
  <c r="I301"/>
  <c r="M301"/>
  <c r="N301" s="1"/>
  <c r="N294"/>
  <c r="I538"/>
  <c r="I543" s="1"/>
  <c r="N39"/>
  <c r="M133"/>
  <c r="M146" s="1"/>
  <c r="N131"/>
  <c r="N446"/>
  <c r="N357"/>
  <c r="N437"/>
  <c r="N340"/>
  <c r="N524"/>
  <c r="N476"/>
  <c r="N22"/>
  <c r="N428"/>
  <c r="N469"/>
  <c r="N403"/>
  <c r="I133"/>
  <c r="I146" s="1"/>
  <c r="N197"/>
  <c r="N376"/>
  <c r="N30"/>
  <c r="N454"/>
  <c r="N169"/>
  <c r="N89"/>
  <c r="N536"/>
  <c r="J543" l="1"/>
  <c r="J146"/>
  <c r="H545"/>
  <c r="N133"/>
  <c r="I407"/>
  <c r="N538"/>
  <c r="M543"/>
  <c r="N146"/>
  <c r="H758" l="1"/>
  <c r="I545"/>
  <c r="I758" l="1"/>
  <c r="G345"/>
  <c r="J345" s="1"/>
  <c r="M345" l="1"/>
  <c r="J349"/>
  <c r="J407" s="1"/>
  <c r="J545" l="1"/>
  <c r="J758" s="1"/>
  <c r="T345"/>
  <c r="M349"/>
  <c r="N349" s="1"/>
  <c r="N345"/>
  <c r="Y345"/>
  <c r="Q345"/>
  <c r="AA345" l="1"/>
  <c r="Q349"/>
  <c r="Q407" s="1"/>
  <c r="T349"/>
  <c r="AC345"/>
  <c r="T407"/>
  <c r="T545" s="1"/>
  <c r="T758" s="1"/>
  <c r="Y349"/>
  <c r="M407"/>
  <c r="Q545" l="1"/>
  <c r="Q758" s="1"/>
  <c r="N407"/>
  <c r="AC349"/>
  <c r="AC407" s="1"/>
  <c r="AA349"/>
  <c r="AA407" s="1"/>
  <c r="M545"/>
  <c r="N545" s="1"/>
  <c r="Y407"/>
  <c r="Y545" l="1"/>
  <c r="Y758" s="1"/>
  <c r="M758"/>
  <c r="M762" s="1"/>
  <c r="AC545"/>
  <c r="AC758" s="1"/>
  <c r="AA545"/>
  <c r="AA758" s="1"/>
  <c r="N758" l="1"/>
</calcChain>
</file>

<file path=xl/sharedStrings.xml><?xml version="1.0" encoding="utf-8"?>
<sst xmlns="http://schemas.openxmlformats.org/spreadsheetml/2006/main" count="1012" uniqueCount="385">
  <si>
    <t>PACIFICORP</t>
  </si>
  <si>
    <t>CURVE</t>
  </si>
  <si>
    <t>UTAH MINING</t>
  </si>
  <si>
    <t>Underground Equipment</t>
  </si>
  <si>
    <t>Vehicles</t>
  </si>
  <si>
    <t>Heavy Construction Equipment</t>
  </si>
  <si>
    <t>Miscellaneous Equipment</t>
  </si>
  <si>
    <t>Computer Equipment</t>
  </si>
  <si>
    <t>Mine Development</t>
  </si>
  <si>
    <t>STEAM PRODUCTION PLANT</t>
  </si>
  <si>
    <t>Land Rights</t>
  </si>
  <si>
    <t>Boiler Plant Equipment</t>
  </si>
  <si>
    <t>Turbogenerator Units</t>
  </si>
  <si>
    <t>Accessory Electric Equipment</t>
  </si>
  <si>
    <t>Supervisory Equipment</t>
  </si>
  <si>
    <t>HYDRAULIC PRODUCTION PLANT</t>
  </si>
  <si>
    <t>ASHTON/ST. ANTHONY</t>
  </si>
  <si>
    <t>Fish/Wildlife</t>
  </si>
  <si>
    <t>TOTAL ASHTON/ST. ANTHONY</t>
  </si>
  <si>
    <t>BEAR RIVER</t>
  </si>
  <si>
    <t>TOTAL BEAR RIVER</t>
  </si>
  <si>
    <t>BIG FORK</t>
  </si>
  <si>
    <t>TOTAL BIG FORK</t>
  </si>
  <si>
    <t>CONDIT</t>
  </si>
  <si>
    <t>Flood Rights</t>
  </si>
  <si>
    <t>TOTAL CONDIT</t>
  </si>
  <si>
    <t>CUTLER</t>
  </si>
  <si>
    <t>Water Rights</t>
  </si>
  <si>
    <t>TOTAL CUTLER</t>
  </si>
  <si>
    <t>EAGLE POINT</t>
  </si>
  <si>
    <t>TOTAL EAGLE POINT</t>
  </si>
  <si>
    <t>GRANITE</t>
  </si>
  <si>
    <t>TOTAL GRANITE</t>
  </si>
  <si>
    <t>KLAMATH RIVER</t>
  </si>
  <si>
    <t>TOTAL KLAMATH RIVER</t>
  </si>
  <si>
    <t>LAST CHANCE</t>
  </si>
  <si>
    <t>TOTAL LAST CHANCE</t>
  </si>
  <si>
    <t>LIFTON</t>
  </si>
  <si>
    <t>TOTAL LIFTON</t>
  </si>
  <si>
    <t>MERWIN</t>
  </si>
  <si>
    <t>TOTAL MERWIN</t>
  </si>
  <si>
    <t>NORTH UMPQUA</t>
  </si>
  <si>
    <t>TOTAL NORTH UMPQUA</t>
  </si>
  <si>
    <t>OLMSTED</t>
  </si>
  <si>
    <t>TOTAL OLMSTED</t>
  </si>
  <si>
    <t>PARIS</t>
  </si>
  <si>
    <t>TOTAL PARIS</t>
  </si>
  <si>
    <t>PIONEER</t>
  </si>
  <si>
    <t>TOTAL PIONEER</t>
  </si>
  <si>
    <t>PROSPECT # 1, 2 AND 4</t>
  </si>
  <si>
    <t>TOTAL PROSPECT # 1, 2 AND 4</t>
  </si>
  <si>
    <t>PROSPECT #3</t>
  </si>
  <si>
    <t>TOTAL PROSPECT #3</t>
  </si>
  <si>
    <t>SANTA CLARA</t>
  </si>
  <si>
    <t>TOTAL SANTA CLARA</t>
  </si>
  <si>
    <t>STAIRS</t>
  </si>
  <si>
    <t>TOTAL STAIRS</t>
  </si>
  <si>
    <t>SWIFT</t>
  </si>
  <si>
    <t>TOTAL SWIFT</t>
  </si>
  <si>
    <t>VIVA NAUGHTON</t>
  </si>
  <si>
    <t>TOTAL VIVA NAUGHTON</t>
  </si>
  <si>
    <t>WALLOWA FALLS</t>
  </si>
  <si>
    <t>TOTAL WALLOWA FALLS</t>
  </si>
  <si>
    <t>WEBER</t>
  </si>
  <si>
    <t>TOTAL WEBER</t>
  </si>
  <si>
    <t>YALE</t>
  </si>
  <si>
    <t>TOTAL YALE</t>
  </si>
  <si>
    <t>TOTAL HYDRAULIC PRODUCTION</t>
  </si>
  <si>
    <t>OTHER PRODUCTION PLANT</t>
  </si>
  <si>
    <t>BLUNDELL</t>
  </si>
  <si>
    <t>CARBON</t>
  </si>
  <si>
    <t>CHOLLA</t>
  </si>
  <si>
    <t>COLSTRIP</t>
  </si>
  <si>
    <t>CRAIG</t>
  </si>
  <si>
    <t>DAVE JOHNSTON</t>
  </si>
  <si>
    <t>GADSBY</t>
  </si>
  <si>
    <t>HAYDEN</t>
  </si>
  <si>
    <t>HUNTER</t>
  </si>
  <si>
    <t>HUNTINGTON</t>
  </si>
  <si>
    <t>JAMES RIVER</t>
  </si>
  <si>
    <t>JIM BRIDGER</t>
  </si>
  <si>
    <t>NAUGHTON</t>
  </si>
  <si>
    <t>WYODAK</t>
  </si>
  <si>
    <t>Prime Movers</t>
  </si>
  <si>
    <t>Generators</t>
  </si>
  <si>
    <t>TOTAL HERMISTON</t>
  </si>
  <si>
    <t>HERMISTON</t>
  </si>
  <si>
    <t>LITTLE MOUNTAIN</t>
  </si>
  <si>
    <t>TOTAL LITTLE MOUNTAIN</t>
  </si>
  <si>
    <t>BEND</t>
  </si>
  <si>
    <t>TOTAL BEND</t>
  </si>
  <si>
    <t>FOUNTAIN GREEN</t>
  </si>
  <si>
    <t>TOTAL FOUNTAIN GREEN</t>
  </si>
  <si>
    <t>CURRANT CREEK</t>
  </si>
  <si>
    <t>SOLAR GENERATING</t>
  </si>
  <si>
    <t>Water Rights - Lakeside</t>
  </si>
  <si>
    <t>TOTAL OTHER PRODUCTION</t>
  </si>
  <si>
    <t>TRANSMISSION PLANT</t>
  </si>
  <si>
    <t>Station Equipment</t>
  </si>
  <si>
    <t>DISTRIBUTION PLANT</t>
  </si>
  <si>
    <t>UTAH -  DISTRIBUTION</t>
  </si>
  <si>
    <t>Line Transformers</t>
  </si>
  <si>
    <t>Overhead Services</t>
  </si>
  <si>
    <t>Underground Services</t>
  </si>
  <si>
    <t>WASHINGTON -  DISTRIBUTION</t>
  </si>
  <si>
    <t>WYOMING -  DISTRIBUTION</t>
  </si>
  <si>
    <t>TOTAL OREGON - DISTRIBUTION</t>
  </si>
  <si>
    <t>TOTAL WASHINGTON - DISTRIBUTION</t>
  </si>
  <si>
    <t>TOTAL WYOMING - DISTRIBUTION</t>
  </si>
  <si>
    <t>CALIFORNIA -  DISTRIBUTION</t>
  </si>
  <si>
    <t>TOTAL CALIFORNIA - DISTRIBUTION</t>
  </si>
  <si>
    <t>TOTAL UTAH - DISTRIBUTION</t>
  </si>
  <si>
    <t>Services</t>
  </si>
  <si>
    <t>Meters</t>
  </si>
  <si>
    <t>IDAHO -  DISTRIBUTION</t>
  </si>
  <si>
    <t>TOTAL IDAHO - DISTRIBUTION</t>
  </si>
  <si>
    <t>TOTAL DISTRIBUTION PLANT</t>
  </si>
  <si>
    <t>GENERAL PLANT</t>
  </si>
  <si>
    <t>OREGON - GENERAL</t>
  </si>
  <si>
    <t>Light Power Operated Equipment</t>
  </si>
  <si>
    <t>Heavy Power Operated Equipment</t>
  </si>
  <si>
    <t>TOTAL OREGON - GENERAL</t>
  </si>
  <si>
    <t>WASHINGTON - GENERAL</t>
  </si>
  <si>
    <t>AZ, CO, MT, ETC. - GENERAL</t>
  </si>
  <si>
    <t>TOTAL AZ, CO, MT, ETC. - GENERAL</t>
  </si>
  <si>
    <t>TOTAL WASHINGTON - GENERAL</t>
  </si>
  <si>
    <t>IDAHO - GENERAL</t>
  </si>
  <si>
    <t>TOTAL IDAHO - GENERAL</t>
  </si>
  <si>
    <t>WYOMING - GENERAL</t>
  </si>
  <si>
    <t>TOTAL WYOMING - GENERAL</t>
  </si>
  <si>
    <t>CALIFORNIA - GENERAL</t>
  </si>
  <si>
    <t>TOTAL CALIFORNIA - GENERAL</t>
  </si>
  <si>
    <t>UTAH - GENERAL</t>
  </si>
  <si>
    <t>TOTAL UTAH - GENERAL</t>
  </si>
  <si>
    <t>TOTAL GENERAL PLANT</t>
  </si>
  <si>
    <t>TOTAL ELECTRIC PLANT</t>
  </si>
  <si>
    <t>TOTAL UTAH MINING</t>
  </si>
  <si>
    <t>OREGON - DISTRIBUTION</t>
  </si>
  <si>
    <t>TOTAL DEPRECIABLE OTHER PRODUCTION</t>
  </si>
  <si>
    <t>Water Rights - Currant Creek</t>
  </si>
  <si>
    <t>RESERVE</t>
  </si>
  <si>
    <t>Aircraft</t>
  </si>
  <si>
    <t>Surface Electric Power Facilities</t>
  </si>
  <si>
    <t>RATE</t>
  </si>
  <si>
    <t>AMOUNT</t>
  </si>
  <si>
    <t>NET</t>
  </si>
  <si>
    <t>SURVIVOR</t>
  </si>
  <si>
    <t>SALVAGE</t>
  </si>
  <si>
    <t>PERCENT</t>
  </si>
  <si>
    <t>BOOK</t>
  </si>
  <si>
    <t xml:space="preserve">CALCULATED ANNUAL </t>
  </si>
  <si>
    <t>ORIGINAL</t>
  </si>
  <si>
    <t>DEPRECIATION</t>
  </si>
  <si>
    <t>FUTURE</t>
  </si>
  <si>
    <t xml:space="preserve">ACCRUAL </t>
  </si>
  <si>
    <t>ACCRUAL</t>
  </si>
  <si>
    <t>COST</t>
  </si>
  <si>
    <t>ACCRUALS</t>
  </si>
  <si>
    <t>COMPOSITE</t>
  </si>
  <si>
    <t>REMAINING</t>
  </si>
  <si>
    <t>LIFE</t>
  </si>
  <si>
    <t>ACCOUNT</t>
  </si>
  <si>
    <t>Structures and Improvements</t>
  </si>
  <si>
    <t>Reservoirs, Dams and Waterways</t>
  </si>
  <si>
    <t>Roads, Railroads and Bridges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</si>
  <si>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</si>
  <si>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</si>
  <si>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</si>
  <si>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</si>
  <si>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</si>
  <si>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</si>
  <si>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Poles, Towers and Fixtures</t>
  </si>
  <si>
    <t>Installations on Customer Premises</t>
  </si>
  <si>
    <t>Street Lighting and Signal Systems</t>
  </si>
  <si>
    <t>Transportation Equipment - Trailers</t>
  </si>
  <si>
    <t xml:space="preserve">          </t>
  </si>
  <si>
    <t>PROBABLE</t>
  </si>
  <si>
    <t>RETIREMENT</t>
  </si>
  <si>
    <t>DATE</t>
  </si>
  <si>
    <t>Carbon</t>
  </si>
  <si>
    <t>Dave Johnston</t>
  </si>
  <si>
    <t>Gadsby</t>
  </si>
  <si>
    <t>Hunter</t>
  </si>
  <si>
    <t>Huntington</t>
  </si>
  <si>
    <t>JimBridger</t>
  </si>
  <si>
    <t>Naughton</t>
  </si>
  <si>
    <t>Wyodak</t>
  </si>
  <si>
    <t>KLAMATH RIVER - ACCELERATED</t>
  </si>
  <si>
    <t>Generators - Atlantic City</t>
  </si>
  <si>
    <t>Generators - Canyon Lands</t>
  </si>
  <si>
    <t>Generators - Green River</t>
  </si>
  <si>
    <t>Generators - Oregon High Desert</t>
  </si>
  <si>
    <t>CHEHALIS</t>
  </si>
  <si>
    <t>LAKE SIDE</t>
  </si>
  <si>
    <t>DUNLAP - WIND</t>
  </si>
  <si>
    <t>FOOTE CREEK - WIND</t>
  </si>
  <si>
    <t>GLENROCK - WIND</t>
  </si>
  <si>
    <t>GOODNOE HILLS - WIND</t>
  </si>
  <si>
    <t>HIGH PLAINS / MCFADDEN - WIND</t>
  </si>
  <si>
    <t>LEANING JUMPER - WIND</t>
  </si>
  <si>
    <t>MARENGO - WIND</t>
  </si>
  <si>
    <t>SEVEN MILE HILL - WIND</t>
  </si>
  <si>
    <t>East Side Mobile Generator</t>
  </si>
  <si>
    <t>West Side Mobile Generator</t>
  </si>
  <si>
    <t>TOTAL SOLAR GENERATING</t>
  </si>
  <si>
    <t>70-R5</t>
  </si>
  <si>
    <t>25-R2</t>
  </si>
  <si>
    <t>60-R4</t>
  </si>
  <si>
    <t>60-R2</t>
  </si>
  <si>
    <t>50-R4</t>
  </si>
  <si>
    <t>60-S0.5</t>
  </si>
  <si>
    <t>60-R2.5</t>
  </si>
  <si>
    <t>55-R1.5</t>
  </si>
  <si>
    <t>55-R4</t>
  </si>
  <si>
    <t>60-R1.5</t>
  </si>
  <si>
    <t>40-R4</t>
  </si>
  <si>
    <t>30-L0</t>
  </si>
  <si>
    <t>40-R3</t>
  </si>
  <si>
    <t>55-R2</t>
  </si>
  <si>
    <t>50-R1</t>
  </si>
  <si>
    <t>55-R1</t>
  </si>
  <si>
    <t>42-R3</t>
  </si>
  <si>
    <t>50-R0.5</t>
  </si>
  <si>
    <t>20-R5</t>
  </si>
  <si>
    <t>25-L0</t>
  </si>
  <si>
    <t>25-R3</t>
  </si>
  <si>
    <t>50-R2</t>
  </si>
  <si>
    <t>45-R0.5</t>
  </si>
  <si>
    <t>55-S5</t>
  </si>
  <si>
    <t>25-R0.5</t>
  </si>
  <si>
    <t>9-R4</t>
  </si>
  <si>
    <t>15-L1</t>
  </si>
  <si>
    <t>25-R1.5</t>
  </si>
  <si>
    <t>33-S0.5</t>
  </si>
  <si>
    <t>10-R4</t>
  </si>
  <si>
    <t>13-L1.5</t>
  </si>
  <si>
    <t>15-L2</t>
  </si>
  <si>
    <t>33-L2</t>
  </si>
  <si>
    <t>18-L0.5</t>
  </si>
  <si>
    <t>50-SQ</t>
  </si>
  <si>
    <t>13-S1.5</t>
  </si>
  <si>
    <t>50-R3</t>
  </si>
  <si>
    <t>10-S3</t>
  </si>
  <si>
    <t>8-R4</t>
  </si>
  <si>
    <t>10-SQ</t>
  </si>
  <si>
    <t>16-L2</t>
  </si>
  <si>
    <t>28-S1</t>
  </si>
  <si>
    <t>65-R1.5</t>
  </si>
  <si>
    <t>58-R2.5</t>
  </si>
  <si>
    <t>SQUARE</t>
  </si>
  <si>
    <t>TOTAL CHEHALIS</t>
  </si>
  <si>
    <t>TOTAL CURRANT CREEK</t>
  </si>
  <si>
    <t>TOTAL LAKE SIDE</t>
  </si>
  <si>
    <t>TOTAL GADBSY PEAKER UNIT 4-6</t>
  </si>
  <si>
    <t>TOTAL DUNLAP - WIND</t>
  </si>
  <si>
    <t>TOTAL FOOTE CREEK - WIND</t>
  </si>
  <si>
    <t>TOTAL GLENROCK - WIND</t>
  </si>
  <si>
    <t>TOTAL GOODNOE HILLS - WIND</t>
  </si>
  <si>
    <t>TOTAL HIGH PLAINS / MCFADDEN - WIND</t>
  </si>
  <si>
    <t>TOTAL LEANING JUMPER - WIND</t>
  </si>
  <si>
    <t>TOTAL MARENGO - WIND</t>
  </si>
  <si>
    <t>TOTAL SEVEN MILE HILL - WIND</t>
  </si>
  <si>
    <t>a</t>
  </si>
  <si>
    <t>Estimated decommissioning costs are $6,633,750</t>
  </si>
  <si>
    <t>TOTAL MOBILE GENERATORS</t>
  </si>
  <si>
    <t>TOTAL PRODUCTION PLANT</t>
  </si>
  <si>
    <t>MOBILE GENERATORS</t>
  </si>
  <si>
    <t>TOTAL STEAM PRODUCTION PLANT</t>
  </si>
  <si>
    <t>TOTAL DEPRECIABLE STEAM PRODUCTION PLANT</t>
  </si>
  <si>
    <t>TOTAL NAUGHTON</t>
  </si>
  <si>
    <t>TOTAL JIM BRIDGER</t>
  </si>
  <si>
    <t>TOTAL JAMES RIVER</t>
  </si>
  <si>
    <t>TOTAL HUNTINGTON</t>
  </si>
  <si>
    <t>TOTAL HUNTER</t>
  </si>
  <si>
    <t>TOTAL HAYDEN</t>
  </si>
  <si>
    <t>TOTAL DAVE JOHNSTON</t>
  </si>
  <si>
    <t>TOTAL CRAIG</t>
  </si>
  <si>
    <t>TOTAL COLSTRIP</t>
  </si>
  <si>
    <t>TOTAL CHOLLA</t>
  </si>
  <si>
    <t>TOTAL CARBON</t>
  </si>
  <si>
    <t>TOTAL BLUNDELL</t>
  </si>
  <si>
    <t>TOTAL WYODAK</t>
  </si>
  <si>
    <t>TOTAL GADSBY</t>
  </si>
  <si>
    <t>TOTAL KLAMATH RIVER ACCELERATED</t>
  </si>
  <si>
    <t>TOTAL TRANSMISSION PLANT</t>
  </si>
  <si>
    <t>Total Account 310.30 Water Rights</t>
  </si>
  <si>
    <t>HYDRO DECOMMISSIONING RESERVE</t>
  </si>
  <si>
    <t>FULLY ACCRUED</t>
  </si>
  <si>
    <t>Longwall Equipment</t>
  </si>
  <si>
    <t>SUMMARY OF ESTIMATED SURVIVOR CURVES, NET SALVAGE PERCENT, ORIGINAL COST, BOOK DEPRECIATION RESERVE</t>
  </si>
  <si>
    <t>AND CALCULATED ANNUAL DEPRECIATION ACCRUALS RELATED TO ELECTRIC PLANT AS OF DECEMBER 31, 2011</t>
  </si>
  <si>
    <t>GADSBY PEAKERS - CT</t>
  </si>
  <si>
    <t>75-R2.5</t>
  </si>
  <si>
    <t>60-R3</t>
  </si>
  <si>
    <t>75-R4</t>
  </si>
  <si>
    <t>57-S0</t>
  </si>
  <si>
    <t>20-R2</t>
  </si>
  <si>
    <t>68-R4</t>
  </si>
  <si>
    <t>55-S3</t>
  </si>
  <si>
    <t>52-R0.5</t>
  </si>
  <si>
    <t>25-R2.5</t>
  </si>
  <si>
    <t>60-R0.5</t>
  </si>
  <si>
    <t>70-R2.5</t>
  </si>
  <si>
    <t>42-R1.5</t>
  </si>
  <si>
    <t>20-S2.5</t>
  </si>
  <si>
    <t>44-R0.5</t>
  </si>
  <si>
    <t>53-R1</t>
  </si>
  <si>
    <t>25-R4</t>
  </si>
  <si>
    <t>52-R1.5</t>
  </si>
  <si>
    <t>60-R1</t>
  </si>
  <si>
    <t>43-R2</t>
  </si>
  <si>
    <t>25-S5</t>
  </si>
  <si>
    <t>45-R1</t>
  </si>
  <si>
    <t>20-R3</t>
  </si>
  <si>
    <t>57-R0.5</t>
  </si>
  <si>
    <t>39-R1</t>
  </si>
  <si>
    <t>25-O1</t>
  </si>
  <si>
    <t>55-R2.5</t>
  </si>
  <si>
    <t>65-R1</t>
  </si>
  <si>
    <t>35-L0</t>
  </si>
  <si>
    <t>47-R0.5</t>
  </si>
  <si>
    <t>12-L2.5</t>
  </si>
  <si>
    <t>16-L3</t>
  </si>
  <si>
    <t>9-S3</t>
  </si>
  <si>
    <t>13-L2.5</t>
  </si>
  <si>
    <t>16-L2.5</t>
  </si>
  <si>
    <t>45-S1.5</t>
  </si>
  <si>
    <t>15-L1.5</t>
  </si>
  <si>
    <t>30-S2</t>
  </si>
  <si>
    <t>15-L0</t>
  </si>
  <si>
    <t>35-R2</t>
  </si>
  <si>
    <t>14-L1.5</t>
  </si>
  <si>
    <t>45-S0</t>
  </si>
  <si>
    <t>12-L3</t>
  </si>
  <si>
    <t>9-L3</t>
  </si>
  <si>
    <t>14-L0.5</t>
  </si>
  <si>
    <t>55-R3</t>
  </si>
  <si>
    <t>12-S2</t>
  </si>
  <si>
    <t>8-R2</t>
  </si>
  <si>
    <t>45-R2</t>
  </si>
  <si>
    <t>16-R2</t>
  </si>
  <si>
    <t>19-R2.5</t>
  </si>
  <si>
    <t>40-S1</t>
  </si>
  <si>
    <t>60-S2</t>
  </si>
  <si>
    <t>12-L1</t>
  </si>
  <si>
    <t>10-L4</t>
  </si>
  <si>
    <t>14-L2.5</t>
  </si>
  <si>
    <t>20-R2.5</t>
  </si>
  <si>
    <t>9-S2</t>
  </si>
  <si>
    <t>IRR</t>
  </si>
  <si>
    <t>COMPANY CALCULATED</t>
  </si>
  <si>
    <t>DIFFERENCE</t>
  </si>
  <si>
    <t>Co Proposed</t>
  </si>
  <si>
    <t>Difference</t>
  </si>
  <si>
    <t>Utah Portion</t>
  </si>
  <si>
    <t>Diff with Co 2011</t>
  </si>
  <si>
    <t>6.24%/4.31%</t>
  </si>
  <si>
    <t>42.00275%/42.00217</t>
  </si>
  <si>
    <t>VARIOUS</t>
  </si>
  <si>
    <t>0.68%/18.16%</t>
  </si>
  <si>
    <t>0.94%/99.06%</t>
  </si>
  <si>
    <t>42.00275% / 100%</t>
  </si>
  <si>
    <t>3.48% / 96.52%</t>
  </si>
  <si>
    <t>10.56% / 5.67%</t>
  </si>
  <si>
    <t>42.00275% / .4200217%</t>
  </si>
  <si>
    <t>3.89% / 52.88%</t>
  </si>
  <si>
    <t>42.00275% / 42.00217%</t>
  </si>
  <si>
    <t>Co Proposed 2011</t>
  </si>
  <si>
    <t>RMP</t>
  </si>
  <si>
    <t>UTAH JURISDICTIONAL</t>
  </si>
  <si>
    <t>OCS RECOMMENDED DEPRECIATION AS OF 2011 COMPARED TO RMP PROPOSED 2013 DEPRECIATION IMPACT</t>
  </si>
  <si>
    <t>REM</t>
  </si>
  <si>
    <t>IRR OR</t>
  </si>
  <si>
    <t>Structures and Impr - Prep Plant</t>
  </si>
  <si>
    <t>Surface Processing Equip - Prep Plant</t>
  </si>
  <si>
    <t>Transp Equip - Light Trucks and Vans</t>
  </si>
  <si>
    <t>Transp Equip - Medium Trucks</t>
  </si>
  <si>
    <t>Transp Equip - Trailers</t>
  </si>
  <si>
    <t>Miscellaneous Power Plant Equip</t>
  </si>
  <si>
    <t>OH Conductors and Devices</t>
  </si>
  <si>
    <t>Fuel Holders, Prod and Access</t>
  </si>
  <si>
    <t>Water Wheels, Turbines and Gen</t>
  </si>
  <si>
    <t xml:space="preserve">OCS </t>
  </si>
  <si>
    <t>Recommended</t>
  </si>
  <si>
    <t>Proposed</t>
  </si>
</sst>
</file>

<file path=xl/styles.xml><?xml version="1.0" encoding="utf-8"?>
<styleSheet xmlns="http://schemas.openxmlformats.org/spreadsheetml/2006/main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mm\-yyyy"/>
    <numFmt numFmtId="167" formatCode="_(&quot;$&quot;* #,##0_);_(&quot;$&quot;* \(#,##0\);_(&quot;$&quot;* &quot;-&quot;??_);_(@_)"/>
    <numFmt numFmtId="168" formatCode="_(* #,##0.0000_);_(* \(#,##0.0000\);_(* &quot;-&quot;??_);_(@_)"/>
    <numFmt numFmtId="169" formatCode="0.000%"/>
    <numFmt numFmtId="170" formatCode="0.00000%"/>
    <numFmt numFmtId="171" formatCode="_(&quot;$&quot;* #,##0.0_);_(&quot;$&quot;* \(#,##0.0\);_(&quot;$&quot;* &quot;-&quot;??_);_(@_)"/>
    <numFmt numFmtId="172" formatCode="0_);\(0\)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8" fillId="0" borderId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62">
    <xf numFmtId="0" fontId="0" fillId="0" borderId="0" xfId="0"/>
    <xf numFmtId="0" fontId="5" fillId="0" borderId="0" xfId="2" applyFont="1" applyFill="1" applyAlignment="1">
      <alignment horizontal="center"/>
    </xf>
    <xf numFmtId="37" fontId="5" fillId="0" borderId="0" xfId="2" applyNumberFormat="1" applyFont="1" applyFill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37" fontId="5" fillId="0" borderId="3" xfId="2" applyNumberFormat="1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39" fontId="5" fillId="0" borderId="2" xfId="2" applyNumberFormat="1" applyFont="1" applyFill="1" applyBorder="1" applyAlignment="1">
      <alignment horizontal="center"/>
    </xf>
    <xf numFmtId="39" fontId="5" fillId="0" borderId="3" xfId="2" applyNumberFormat="1" applyFont="1" applyFill="1" applyBorder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5" fillId="0" borderId="3" xfId="2" applyNumberFormat="1" applyFont="1" applyFill="1" applyBorder="1" applyAlignment="1">
      <alignment horizontal="center"/>
    </xf>
    <xf numFmtId="37" fontId="5" fillId="0" borderId="0" xfId="3" applyNumberFormat="1" applyFont="1" applyFill="1" applyAlignment="1">
      <alignment horizontal="center"/>
    </xf>
    <xf numFmtId="37" fontId="5" fillId="0" borderId="0" xfId="1" applyNumberFormat="1" applyFont="1" applyFill="1" applyAlignment="1">
      <alignment horizontal="center"/>
    </xf>
    <xf numFmtId="37" fontId="3" fillId="0" borderId="0" xfId="1" applyNumberFormat="1" applyFont="1" applyFill="1" applyBorder="1" applyAlignment="1">
      <alignment horizontal="right"/>
    </xf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1" applyFont="1" applyFill="1" applyBorder="1" applyAlignment="1">
      <alignment horizontal="right"/>
    </xf>
    <xf numFmtId="37" fontId="3" fillId="0" borderId="0" xfId="1" applyNumberFormat="1" applyFont="1" applyFill="1" applyAlignment="1">
      <alignment horizontal="right"/>
    </xf>
    <xf numFmtId="43" fontId="3" fillId="0" borderId="0" xfId="1" applyFont="1" applyFill="1"/>
    <xf numFmtId="43" fontId="3" fillId="0" borderId="3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37" fontId="3" fillId="0" borderId="0" xfId="0" applyNumberFormat="1" applyFont="1" applyFill="1"/>
    <xf numFmtId="37" fontId="3" fillId="0" borderId="0" xfId="0" applyNumberFormat="1" applyFont="1" applyFill="1" applyAlignment="1">
      <alignment horizontal="right"/>
    </xf>
    <xf numFmtId="0" fontId="5" fillId="0" borderId="0" xfId="0" applyFont="1" applyFill="1"/>
    <xf numFmtId="39" fontId="3" fillId="0" borderId="0" xfId="1" applyNumberFormat="1" applyFont="1" applyFill="1" applyAlignment="1">
      <alignment horizontal="right"/>
    </xf>
    <xf numFmtId="39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3" fontId="3" fillId="0" borderId="0" xfId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43" fontId="5" fillId="0" borderId="0" xfId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64" fontId="5" fillId="0" borderId="0" xfId="1" applyNumberFormat="1" applyFont="1" applyFill="1" applyAlignment="1">
      <alignment horizontal="centerContinuous"/>
    </xf>
    <xf numFmtId="39" fontId="5" fillId="0" borderId="0" xfId="1" applyNumberFormat="1" applyFont="1" applyFill="1" applyAlignment="1">
      <alignment horizontal="centerContinuous"/>
    </xf>
    <xf numFmtId="165" fontId="5" fillId="0" borderId="0" xfId="1" applyNumberFormat="1" applyFont="1" applyFill="1" applyAlignment="1">
      <alignment horizontal="centerContinuous"/>
    </xf>
    <xf numFmtId="43" fontId="4" fillId="0" borderId="0" xfId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39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43" fontId="10" fillId="0" borderId="0" xfId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37" fontId="5" fillId="0" borderId="0" xfId="1" applyNumberFormat="1" applyFont="1" applyFill="1" applyBorder="1" applyAlignment="1">
      <alignment horizontal="right"/>
    </xf>
    <xf numFmtId="39" fontId="5" fillId="0" borderId="0" xfId="1" applyNumberFormat="1" applyFont="1" applyFill="1" applyAlignment="1">
      <alignment horizontal="right"/>
    </xf>
    <xf numFmtId="43" fontId="10" fillId="0" borderId="0" xfId="1" applyFont="1" applyFill="1" applyBorder="1"/>
    <xf numFmtId="0" fontId="5" fillId="0" borderId="0" xfId="0" applyFont="1" applyFill="1" applyBorder="1"/>
    <xf numFmtId="0" fontId="4" fillId="0" borderId="0" xfId="0" applyFont="1" applyFill="1"/>
    <xf numFmtId="164" fontId="3" fillId="0" borderId="0" xfId="0" applyNumberFormat="1" applyFont="1" applyFill="1" applyBorder="1" applyAlignment="1">
      <alignment horizontal="center"/>
    </xf>
    <xf numFmtId="43" fontId="5" fillId="0" borderId="0" xfId="1" applyFont="1" applyFill="1"/>
    <xf numFmtId="37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43" fontId="4" fillId="0" borderId="0" xfId="1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43" fontId="3" fillId="0" borderId="3" xfId="1" applyFont="1" applyFill="1" applyBorder="1"/>
    <xf numFmtId="0" fontId="3" fillId="0" borderId="3" xfId="0" applyFont="1" applyFill="1" applyBorder="1"/>
    <xf numFmtId="164" fontId="3" fillId="0" borderId="0" xfId="1" applyNumberFormat="1" applyFont="1" applyFill="1"/>
    <xf numFmtId="39" fontId="3" fillId="0" borderId="0" xfId="1" applyNumberFormat="1" applyFont="1" applyFill="1"/>
    <xf numFmtId="165" fontId="3" fillId="0" borderId="0" xfId="1" applyNumberFormat="1" applyFont="1" applyFill="1"/>
    <xf numFmtId="10" fontId="3" fillId="0" borderId="0" xfId="15" applyNumberFormat="1" applyFont="1" applyFill="1" applyBorder="1" applyAlignment="1">
      <alignment horizontal="right"/>
    </xf>
    <xf numFmtId="167" fontId="5" fillId="0" borderId="0" xfId="14" applyNumberFormat="1" applyFont="1" applyFill="1" applyAlignment="1">
      <alignment horizontal="centerContinuous"/>
    </xf>
    <xf numFmtId="167" fontId="5" fillId="0" borderId="0" xfId="14" applyNumberFormat="1" applyFont="1" applyFill="1" applyAlignment="1">
      <alignment horizontal="center"/>
    </xf>
    <xf numFmtId="167" fontId="5" fillId="0" borderId="3" xfId="14" applyNumberFormat="1" applyFont="1" applyFill="1" applyBorder="1" applyAlignment="1">
      <alignment horizontal="center"/>
    </xf>
    <xf numFmtId="167" fontId="3" fillId="0" borderId="0" xfId="14" applyNumberFormat="1" applyFont="1" applyFill="1" applyAlignment="1">
      <alignment horizontal="center"/>
    </xf>
    <xf numFmtId="167" fontId="3" fillId="0" borderId="0" xfId="14" applyNumberFormat="1" applyFont="1" applyFill="1" applyAlignment="1">
      <alignment horizontal="right"/>
    </xf>
    <xf numFmtId="167" fontId="3" fillId="0" borderId="0" xfId="14" applyNumberFormat="1" applyFont="1" applyFill="1" applyBorder="1" applyAlignment="1">
      <alignment horizontal="right"/>
    </xf>
    <xf numFmtId="167" fontId="3" fillId="0" borderId="4" xfId="14" applyNumberFormat="1" applyFont="1" applyFill="1" applyBorder="1" applyAlignment="1">
      <alignment horizontal="right"/>
    </xf>
    <xf numFmtId="167" fontId="3" fillId="0" borderId="1" xfId="14" applyNumberFormat="1" applyFont="1" applyFill="1" applyBorder="1" applyAlignment="1">
      <alignment horizontal="right"/>
    </xf>
    <xf numFmtId="167" fontId="5" fillId="0" borderId="0" xfId="14" applyNumberFormat="1" applyFont="1" applyFill="1" applyBorder="1" applyAlignment="1">
      <alignment horizontal="right"/>
    </xf>
    <xf numFmtId="167" fontId="3" fillId="0" borderId="3" xfId="14" applyNumberFormat="1" applyFont="1" applyFill="1" applyBorder="1" applyAlignment="1">
      <alignment horizontal="right"/>
    </xf>
    <xf numFmtId="167" fontId="3" fillId="0" borderId="0" xfId="14" applyNumberFormat="1" applyFont="1" applyFill="1"/>
    <xf numFmtId="167" fontId="3" fillId="0" borderId="0" xfId="14" applyNumberFormat="1" applyFont="1" applyFill="1" applyBorder="1"/>
    <xf numFmtId="167" fontId="5" fillId="0" borderId="0" xfId="14" applyNumberFormat="1" applyFont="1" applyFill="1" applyBorder="1"/>
    <xf numFmtId="167" fontId="5" fillId="0" borderId="3" xfId="14" applyNumberFormat="1" applyFont="1" applyFill="1" applyBorder="1" applyAlignment="1">
      <alignment horizontal="right"/>
    </xf>
    <xf numFmtId="167" fontId="5" fillId="0" borderId="4" xfId="14" applyNumberFormat="1" applyFont="1" applyFill="1" applyBorder="1" applyAlignment="1">
      <alignment horizontal="right"/>
    </xf>
    <xf numFmtId="167" fontId="5" fillId="0" borderId="5" xfId="14" applyNumberFormat="1" applyFont="1" applyFill="1" applyBorder="1" applyAlignment="1">
      <alignment horizontal="right"/>
    </xf>
    <xf numFmtId="167" fontId="5" fillId="0" borderId="1" xfId="14" applyNumberFormat="1" applyFont="1" applyFill="1" applyBorder="1" applyAlignment="1">
      <alignment horizontal="right"/>
    </xf>
    <xf numFmtId="37" fontId="5" fillId="0" borderId="3" xfId="2" applyNumberFormat="1" applyFont="1" applyFill="1" applyBorder="1" applyAlignment="1">
      <alignment horizontal="center" wrapText="1"/>
    </xf>
    <xf numFmtId="37" fontId="5" fillId="0" borderId="0" xfId="2" applyNumberFormat="1" applyFont="1" applyFill="1" applyBorder="1" applyAlignment="1">
      <alignment horizontal="center" wrapText="1"/>
    </xf>
    <xf numFmtId="10" fontId="3" fillId="0" borderId="3" xfId="15" applyNumberFormat="1" applyFont="1" applyFill="1" applyBorder="1" applyAlignment="1">
      <alignment horizontal="right"/>
    </xf>
    <xf numFmtId="39" fontId="3" fillId="0" borderId="1" xfId="1" applyNumberFormat="1" applyFont="1" applyFill="1" applyBorder="1" applyAlignment="1">
      <alignment horizontal="right"/>
    </xf>
    <xf numFmtId="39" fontId="3" fillId="0" borderId="3" xfId="1" applyNumberFormat="1" applyFont="1" applyFill="1" applyBorder="1" applyAlignment="1">
      <alignment horizontal="right"/>
    </xf>
    <xf numFmtId="167" fontId="3" fillId="0" borderId="0" xfId="14" applyNumberFormat="1" applyFont="1" applyFill="1" applyBorder="1" applyAlignment="1">
      <alignment horizontal="center"/>
    </xf>
    <xf numFmtId="9" fontId="5" fillId="0" borderId="0" xfId="15" applyNumberFormat="1" applyFont="1" applyFill="1" applyAlignment="1">
      <alignment horizontal="centerContinuous"/>
    </xf>
    <xf numFmtId="9" fontId="3" fillId="0" borderId="0" xfId="15" applyNumberFormat="1" applyFont="1" applyFill="1"/>
    <xf numFmtId="9" fontId="5" fillId="0" borderId="0" xfId="15" applyNumberFormat="1" applyFont="1" applyFill="1" applyAlignment="1">
      <alignment horizontal="center"/>
    </xf>
    <xf numFmtId="9" fontId="5" fillId="0" borderId="3" xfId="15" applyNumberFormat="1" applyFont="1" applyFill="1" applyBorder="1" applyAlignment="1">
      <alignment horizontal="center"/>
    </xf>
    <xf numFmtId="9" fontId="3" fillId="0" borderId="0" xfId="15" applyNumberFormat="1" applyFont="1" applyFill="1" applyAlignment="1">
      <alignment horizontal="center"/>
    </xf>
    <xf numFmtId="9" fontId="3" fillId="0" borderId="0" xfId="15" applyNumberFormat="1" applyFont="1" applyFill="1" applyBorder="1" applyAlignment="1">
      <alignment horizontal="center"/>
    </xf>
    <xf numFmtId="37" fontId="3" fillId="0" borderId="0" xfId="1" applyNumberFormat="1" applyFont="1" applyFill="1" applyBorder="1" applyAlignment="1">
      <alignment horizontal="center"/>
    </xf>
    <xf numFmtId="37" fontId="3" fillId="0" borderId="0" xfId="1" applyNumberFormat="1" applyFont="1" applyFill="1" applyAlignment="1">
      <alignment horizontal="center"/>
    </xf>
    <xf numFmtId="168" fontId="5" fillId="0" borderId="3" xfId="1" applyNumberFormat="1" applyFont="1" applyFill="1" applyBorder="1" applyAlignment="1">
      <alignment horizontal="center"/>
    </xf>
    <xf numFmtId="168" fontId="3" fillId="0" borderId="0" xfId="1" applyNumberFormat="1" applyFont="1" applyFill="1"/>
    <xf numFmtId="168" fontId="3" fillId="0" borderId="0" xfId="1" applyNumberFormat="1" applyFont="1" applyFill="1" applyBorder="1" applyAlignment="1">
      <alignment horizontal="right"/>
    </xf>
    <xf numFmtId="37" fontId="3" fillId="0" borderId="4" xfId="1" applyNumberFormat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right"/>
    </xf>
    <xf numFmtId="37" fontId="5" fillId="0" borderId="3" xfId="1" applyNumberFormat="1" applyFont="1" applyFill="1" applyBorder="1" applyAlignment="1">
      <alignment horizontal="right"/>
    </xf>
    <xf numFmtId="37" fontId="5" fillId="0" borderId="4" xfId="1" applyNumberFormat="1" applyFont="1" applyFill="1" applyBorder="1" applyAlignment="1">
      <alignment horizontal="right"/>
    </xf>
    <xf numFmtId="37" fontId="5" fillId="0" borderId="1" xfId="1" applyNumberFormat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center"/>
    </xf>
    <xf numFmtId="37" fontId="5" fillId="0" borderId="4" xfId="1" applyNumberFormat="1" applyFont="1" applyFill="1" applyBorder="1" applyAlignment="1">
      <alignment horizontal="center"/>
    </xf>
    <xf numFmtId="37" fontId="5" fillId="0" borderId="0" xfId="1" applyNumberFormat="1" applyFont="1" applyFill="1" applyBorder="1" applyAlignment="1">
      <alignment horizontal="center"/>
    </xf>
    <xf numFmtId="37" fontId="5" fillId="0" borderId="1" xfId="1" applyNumberFormat="1" applyFont="1" applyFill="1" applyBorder="1" applyAlignment="1">
      <alignment horizontal="center"/>
    </xf>
    <xf numFmtId="168" fontId="3" fillId="0" borderId="0" xfId="1" applyNumberFormat="1" applyFont="1" applyFill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3" fillId="0" borderId="0" xfId="0" applyFont="1" applyFill="1" applyBorder="1"/>
    <xf numFmtId="37" fontId="5" fillId="0" borderId="0" xfId="0" applyNumberFormat="1" applyFont="1" applyFill="1" applyBorder="1" applyAlignment="1">
      <alignment horizontal="center"/>
    </xf>
    <xf numFmtId="168" fontId="5" fillId="0" borderId="0" xfId="1" applyNumberFormat="1" applyFont="1" applyFill="1" applyAlignment="1">
      <alignment horizontal="centerContinuous"/>
    </xf>
    <xf numFmtId="168" fontId="3" fillId="0" borderId="0" xfId="1" applyNumberFormat="1" applyFont="1" applyFill="1" applyAlignment="1">
      <alignment horizontal="center"/>
    </xf>
    <xf numFmtId="168" fontId="3" fillId="0" borderId="0" xfId="1" quotePrefix="1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3" fillId="0" borderId="4" xfId="1" applyNumberFormat="1" applyFont="1" applyFill="1" applyBorder="1" applyAlignment="1">
      <alignment horizontal="center"/>
    </xf>
    <xf numFmtId="37" fontId="5" fillId="0" borderId="3" xfId="1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0" fontId="3" fillId="0" borderId="0" xfId="15" applyNumberFormat="1" applyFont="1" applyFill="1" applyBorder="1"/>
    <xf numFmtId="170" fontId="3" fillId="0" borderId="0" xfId="15" applyNumberFormat="1" applyFont="1" applyFill="1" applyBorder="1"/>
    <xf numFmtId="10" fontId="5" fillId="0" borderId="0" xfId="15" applyNumberFormat="1" applyFont="1" applyFill="1" applyBorder="1"/>
    <xf numFmtId="170" fontId="5" fillId="0" borderId="0" xfId="15" applyNumberFormat="1" applyFont="1" applyFill="1" applyBorder="1"/>
    <xf numFmtId="167" fontId="5" fillId="0" borderId="0" xfId="14" applyNumberFormat="1" applyFont="1" applyFill="1"/>
    <xf numFmtId="10" fontId="3" fillId="0" borderId="0" xfId="15" quotePrefix="1" applyNumberFormat="1" applyFont="1" applyFill="1" applyBorder="1"/>
    <xf numFmtId="170" fontId="3" fillId="0" borderId="0" xfId="15" quotePrefix="1" applyNumberFormat="1" applyFont="1" applyFill="1" applyBorder="1"/>
    <xf numFmtId="10" fontId="3" fillId="0" borderId="0" xfId="15" applyNumberFormat="1" applyFont="1" applyFill="1" applyBorder="1" applyAlignment="1">
      <alignment horizontal="center"/>
    </xf>
    <xf numFmtId="169" fontId="5" fillId="0" borderId="0" xfId="15" applyNumberFormat="1" applyFont="1" applyFill="1"/>
    <xf numFmtId="169" fontId="3" fillId="0" borderId="0" xfId="15" applyNumberFormat="1" applyFont="1" applyFill="1"/>
    <xf numFmtId="169" fontId="5" fillId="0" borderId="0" xfId="15" applyNumberFormat="1" applyFont="1" applyFill="1" applyAlignment="1">
      <alignment horizontal="center"/>
    </xf>
    <xf numFmtId="171" fontId="3" fillId="0" borderId="0" xfId="14" applyNumberFormat="1" applyFont="1" applyFill="1"/>
    <xf numFmtId="167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/>
    <xf numFmtId="166" fontId="3" fillId="0" borderId="0" xfId="1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167" fontId="5" fillId="0" borderId="2" xfId="14" applyNumberFormat="1" applyFont="1" applyFill="1" applyBorder="1" applyAlignment="1">
      <alignment horizontal="center"/>
    </xf>
    <xf numFmtId="37" fontId="5" fillId="0" borderId="2" xfId="2" applyNumberFormat="1" applyFont="1" applyFill="1" applyBorder="1" applyAlignment="1">
      <alignment horizontal="center"/>
    </xf>
    <xf numFmtId="37" fontId="3" fillId="0" borderId="3" xfId="1" applyNumberFormat="1" applyFont="1" applyFill="1" applyBorder="1" applyAlignment="1">
      <alignment horizontal="right"/>
    </xf>
    <xf numFmtId="0" fontId="5" fillId="0" borderId="3" xfId="14" applyNumberFormat="1" applyFont="1" applyFill="1" applyBorder="1" applyAlignment="1">
      <alignment horizontal="center"/>
    </xf>
    <xf numFmtId="39" fontId="5" fillId="0" borderId="0" xfId="2" applyNumberFormat="1" applyFont="1" applyFill="1" applyBorder="1" applyAlignment="1">
      <alignment horizontal="center"/>
    </xf>
    <xf numFmtId="39" fontId="3" fillId="0" borderId="0" xfId="2" applyNumberFormat="1" applyFont="1" applyFill="1" applyBorder="1" applyAlignment="1">
      <alignment horizontal="centerContinuous"/>
    </xf>
    <xf numFmtId="172" fontId="5" fillId="0" borderId="0" xfId="2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5" fillId="0" borderId="0" xfId="15" applyNumberFormat="1" applyFont="1" applyFill="1" applyBorder="1" applyAlignment="1">
      <alignment horizontal="center"/>
    </xf>
    <xf numFmtId="172" fontId="5" fillId="0" borderId="0" xfId="14" applyNumberFormat="1" applyFont="1" applyFill="1" applyAlignment="1">
      <alignment horizontal="center"/>
    </xf>
    <xf numFmtId="167" fontId="5" fillId="0" borderId="7" xfId="14" applyNumberFormat="1" applyFont="1" applyFill="1" applyBorder="1" applyAlignment="1">
      <alignment horizontal="right"/>
    </xf>
    <xf numFmtId="168" fontId="3" fillId="0" borderId="0" xfId="1" applyNumberFormat="1" applyFont="1" applyBorder="1" applyAlignment="1">
      <alignment horizontal="center"/>
    </xf>
    <xf numFmtId="168" fontId="3" fillId="0" borderId="0" xfId="1" applyNumberFormat="1" applyFont="1" applyAlignment="1">
      <alignment horizontal="center"/>
    </xf>
    <xf numFmtId="172" fontId="3" fillId="0" borderId="0" xfId="15" applyNumberFormat="1" applyFont="1" applyFill="1" applyAlignment="1">
      <alignment horizontal="center"/>
    </xf>
    <xf numFmtId="172" fontId="3" fillId="0" borderId="0" xfId="15" applyNumberFormat="1" applyFont="1" applyFill="1" applyBorder="1" applyAlignment="1">
      <alignment horizontal="center"/>
    </xf>
    <xf numFmtId="172" fontId="3" fillId="0" borderId="0" xfId="15" applyNumberFormat="1" applyFont="1" applyFill="1"/>
    <xf numFmtId="166" fontId="3" fillId="0" borderId="0" xfId="1" applyNumberFormat="1" applyFont="1" applyFill="1" applyBorder="1" applyAlignment="1">
      <alignment horizontal="center"/>
    </xf>
    <xf numFmtId="167" fontId="5" fillId="0" borderId="3" xfId="14" applyNumberFormat="1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37" fontId="5" fillId="0" borderId="6" xfId="2" applyNumberFormat="1" applyFont="1" applyFill="1" applyBorder="1" applyAlignment="1">
      <alignment horizontal="center"/>
    </xf>
  </cellXfs>
  <cellStyles count="16">
    <cellStyle name="Comma" xfId="1" builtinId="3"/>
    <cellStyle name="Comma 2" xfId="6"/>
    <cellStyle name="Comma 2 2" xfId="12"/>
    <cellStyle name="Comma 3" xfId="10"/>
    <cellStyle name="Currency" xfId="14" builtinId="4"/>
    <cellStyle name="Normal" xfId="0" builtinId="0"/>
    <cellStyle name="Normal 2" xfId="2"/>
    <cellStyle name="Normal 2 2" xfId="7"/>
    <cellStyle name="Normal 2 3" xfId="11"/>
    <cellStyle name="Normal 2 4" xfId="13"/>
    <cellStyle name="Normal 3" xfId="3"/>
    <cellStyle name="Normal 4" xfId="5"/>
    <cellStyle name="Normal 4 2" xfId="8"/>
    <cellStyle name="Normal 5" xfId="4"/>
    <cellStyle name="Normal 6" xfId="9"/>
    <cellStyle name="Percent" xfId="1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N860"/>
  <sheetViews>
    <sheetView tabSelected="1" topLeftCell="C1" zoomScale="85" zoomScaleNormal="85" workbookViewId="0">
      <selection activeCell="L764" sqref="L764"/>
    </sheetView>
  </sheetViews>
  <sheetFormatPr defaultColWidth="9.140625" defaultRowHeight="12.75"/>
  <cols>
    <col min="1" max="1" width="8" style="20" customWidth="1"/>
    <col min="2" max="2" width="28.7109375" style="16" customWidth="1"/>
    <col min="3" max="3" width="12.140625" style="34" customWidth="1"/>
    <col min="4" max="4" width="11.85546875" style="112" hidden="1" customWidth="1"/>
    <col min="5" max="5" width="11.28515625" style="17" customWidth="1"/>
    <col min="6" max="6" width="10.140625" style="93" customWidth="1"/>
    <col min="7" max="7" width="17" style="79" customWidth="1"/>
    <col min="8" max="8" width="21.85546875" style="73" customWidth="1"/>
    <col min="9" max="9" width="22.42578125" style="79" customWidth="1"/>
    <col min="10" max="10" width="21.5703125" style="79" customWidth="1"/>
    <col min="11" max="11" width="12.140625" style="65" hidden="1" customWidth="1"/>
    <col min="12" max="12" width="6.5703125" style="65" customWidth="1"/>
    <col min="13" max="13" width="15.42578125" style="79" hidden="1" customWidth="1"/>
    <col min="14" max="14" width="9.85546875" style="66" customWidth="1"/>
    <col min="15" max="15" width="12.140625" style="67" hidden="1" customWidth="1"/>
    <col min="16" max="16" width="15" style="16" hidden="1" customWidth="1"/>
    <col min="17" max="17" width="15.140625" style="17" hidden="1" customWidth="1"/>
    <col min="18" max="18" width="9.140625" style="16" hidden="1" customWidth="1"/>
    <col min="19" max="19" width="18.7109375" style="16" hidden="1" customWidth="1"/>
    <col min="20" max="20" width="16" style="16" hidden="1" customWidth="1"/>
    <col min="21" max="21" width="15.140625" style="114" hidden="1" customWidth="1"/>
    <col min="22" max="22" width="15.140625" style="123" hidden="1" customWidth="1"/>
    <col min="23" max="23" width="20.28515625" style="124" hidden="1" customWidth="1"/>
    <col min="24" max="24" width="2.7109375" style="16" hidden="1" customWidth="1"/>
    <col min="25" max="25" width="19.42578125" style="79" customWidth="1"/>
    <col min="26" max="26" width="22.85546875" style="79" hidden="1" customWidth="1"/>
    <col min="27" max="27" width="22" style="79" hidden="1" customWidth="1"/>
    <col min="28" max="28" width="18.28515625" style="79" customWidth="1"/>
    <col min="29" max="29" width="17.5703125" style="79" customWidth="1"/>
    <col min="30" max="30" width="9.140625" style="16"/>
    <col min="31" max="31" width="12.42578125" style="132" hidden="1" customWidth="1"/>
    <col min="32" max="34" width="9.28515625" style="132" hidden="1" customWidth="1"/>
    <col min="35" max="35" width="10.85546875" style="132" hidden="1" customWidth="1"/>
    <col min="36" max="36" width="9.42578125" style="132" hidden="1" customWidth="1"/>
    <col min="37" max="37" width="9.28515625" style="16" hidden="1" customWidth="1"/>
    <col min="38" max="38" width="11.28515625" style="16" hidden="1" customWidth="1"/>
    <col min="39" max="39" width="9.7109375" style="16" hidden="1" customWidth="1"/>
    <col min="40" max="40" width="12.5703125" style="16" hidden="1" customWidth="1"/>
    <col min="41" max="41" width="0" style="16" hidden="1" customWidth="1"/>
    <col min="42" max="16384" width="9.140625" style="16"/>
  </cols>
  <sheetData>
    <row r="1" spans="1:36" s="26" customForma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E1" s="131"/>
      <c r="AF1" s="131"/>
      <c r="AG1" s="131"/>
      <c r="AH1" s="131"/>
      <c r="AI1" s="131"/>
      <c r="AJ1" s="131"/>
    </row>
    <row r="2" spans="1:36" s="26" customFormat="1">
      <c r="A2" s="36"/>
      <c r="B2" s="37"/>
      <c r="C2" s="37"/>
      <c r="D2" s="116"/>
      <c r="E2" s="59"/>
      <c r="F2" s="92"/>
      <c r="G2" s="69"/>
      <c r="H2" s="69"/>
      <c r="I2" s="69"/>
      <c r="J2" s="69"/>
      <c r="K2" s="38"/>
      <c r="L2" s="38"/>
      <c r="M2" s="69"/>
      <c r="N2" s="39"/>
      <c r="O2" s="40"/>
      <c r="Q2" s="59"/>
      <c r="U2" s="54"/>
      <c r="V2" s="125"/>
      <c r="W2" s="126"/>
      <c r="Y2" s="127"/>
      <c r="Z2" s="127"/>
      <c r="AA2" s="127"/>
      <c r="AB2" s="127"/>
      <c r="AC2" s="127"/>
      <c r="AE2" s="131"/>
      <c r="AF2" s="131"/>
      <c r="AG2" s="131"/>
      <c r="AH2" s="131"/>
      <c r="AI2" s="131"/>
      <c r="AJ2" s="131"/>
    </row>
    <row r="3" spans="1:36" s="26" customFormat="1">
      <c r="A3" s="159" t="s">
        <v>289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E3" s="131"/>
      <c r="AF3" s="131"/>
      <c r="AG3" s="131"/>
      <c r="AH3" s="131"/>
      <c r="AI3" s="131"/>
      <c r="AJ3" s="131"/>
    </row>
    <row r="4" spans="1:36" s="26" customFormat="1">
      <c r="A4" s="159" t="s">
        <v>290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E4" s="131"/>
      <c r="AF4" s="131"/>
      <c r="AG4" s="131"/>
      <c r="AH4" s="131"/>
      <c r="AI4" s="131"/>
      <c r="AJ4" s="131"/>
    </row>
    <row r="5" spans="1:36">
      <c r="A5" s="159" t="s">
        <v>370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</row>
    <row r="7" spans="1:36">
      <c r="D7" s="117"/>
      <c r="Y7" s="158" t="s">
        <v>369</v>
      </c>
      <c r="Z7" s="158"/>
      <c r="AA7" s="158"/>
      <c r="AB7" s="158"/>
      <c r="AC7" s="158"/>
    </row>
    <row r="8" spans="1:36">
      <c r="A8" s="14"/>
      <c r="B8" s="17"/>
      <c r="C8" s="1" t="s">
        <v>176</v>
      </c>
      <c r="D8" s="118"/>
      <c r="E8" s="1" t="s">
        <v>372</v>
      </c>
      <c r="F8" s="94" t="s">
        <v>145</v>
      </c>
      <c r="G8" s="70" t="s">
        <v>145</v>
      </c>
      <c r="H8" s="70"/>
      <c r="I8" s="70" t="s">
        <v>149</v>
      </c>
      <c r="J8" s="70"/>
      <c r="K8" s="2"/>
      <c r="L8" s="2"/>
      <c r="M8" s="69" t="s">
        <v>150</v>
      </c>
      <c r="N8" s="145"/>
      <c r="O8" s="9" t="s">
        <v>158</v>
      </c>
      <c r="P8" s="161" t="s">
        <v>350</v>
      </c>
      <c r="Q8" s="161"/>
      <c r="Y8" s="70" t="s">
        <v>382</v>
      </c>
      <c r="AB8" s="70" t="s">
        <v>368</v>
      </c>
    </row>
    <row r="9" spans="1:36" ht="15.75" customHeight="1">
      <c r="A9" s="14"/>
      <c r="B9" s="17"/>
      <c r="C9" s="1" t="s">
        <v>177</v>
      </c>
      <c r="E9" s="1" t="s">
        <v>146</v>
      </c>
      <c r="F9" s="94" t="s">
        <v>147</v>
      </c>
      <c r="G9" s="70" t="s">
        <v>147</v>
      </c>
      <c r="H9" s="70" t="s">
        <v>151</v>
      </c>
      <c r="I9" s="70" t="s">
        <v>152</v>
      </c>
      <c r="J9" s="70" t="s">
        <v>153</v>
      </c>
      <c r="K9" s="87" t="s">
        <v>159</v>
      </c>
      <c r="L9" s="2" t="s">
        <v>371</v>
      </c>
      <c r="M9" s="140" t="s">
        <v>154</v>
      </c>
      <c r="N9" s="144" t="s">
        <v>155</v>
      </c>
      <c r="O9" s="9" t="s">
        <v>159</v>
      </c>
      <c r="P9" s="141" t="s">
        <v>154</v>
      </c>
      <c r="Q9" s="7"/>
      <c r="S9" s="59" t="s">
        <v>352</v>
      </c>
      <c r="T9" s="59"/>
      <c r="U9" s="50"/>
      <c r="Y9" s="70" t="s">
        <v>383</v>
      </c>
      <c r="Z9" s="70" t="s">
        <v>354</v>
      </c>
      <c r="AA9" s="70" t="s">
        <v>354</v>
      </c>
      <c r="AB9" s="70" t="s">
        <v>384</v>
      </c>
      <c r="AC9" s="70"/>
    </row>
    <row r="10" spans="1:36">
      <c r="A10" s="41"/>
      <c r="B10" s="3" t="s">
        <v>161</v>
      </c>
      <c r="C10" s="4" t="s">
        <v>178</v>
      </c>
      <c r="D10" s="100" t="s">
        <v>349</v>
      </c>
      <c r="E10" s="4" t="s">
        <v>1</v>
      </c>
      <c r="F10" s="95" t="s">
        <v>148</v>
      </c>
      <c r="G10" s="71" t="s">
        <v>144</v>
      </c>
      <c r="H10" s="71" t="s">
        <v>156</v>
      </c>
      <c r="I10" s="71" t="s">
        <v>140</v>
      </c>
      <c r="J10" s="71" t="s">
        <v>157</v>
      </c>
      <c r="K10" s="86" t="s">
        <v>160</v>
      </c>
      <c r="L10" s="5" t="s">
        <v>160</v>
      </c>
      <c r="M10" s="71" t="s">
        <v>144</v>
      </c>
      <c r="N10" s="8" t="s">
        <v>143</v>
      </c>
      <c r="O10" s="10" t="s">
        <v>160</v>
      </c>
      <c r="P10" s="5" t="s">
        <v>144</v>
      </c>
      <c r="Q10" s="8" t="s">
        <v>351</v>
      </c>
      <c r="S10" s="113">
        <v>2013</v>
      </c>
      <c r="T10" s="113" t="s">
        <v>353</v>
      </c>
      <c r="U10" s="50"/>
      <c r="Y10" s="143">
        <v>2011</v>
      </c>
      <c r="Z10" s="71" t="s">
        <v>367</v>
      </c>
      <c r="AA10" s="71" t="s">
        <v>355</v>
      </c>
      <c r="AB10" s="143">
        <v>2013</v>
      </c>
      <c r="AC10" s="71" t="s">
        <v>353</v>
      </c>
    </row>
    <row r="11" spans="1:36" s="42" customFormat="1">
      <c r="A11" s="12"/>
      <c r="B11" s="11">
        <v>-1</v>
      </c>
      <c r="C11" s="42">
        <v>-2</v>
      </c>
      <c r="D11" s="2">
        <v>-3</v>
      </c>
      <c r="E11" s="2">
        <v>-3</v>
      </c>
      <c r="F11" s="2">
        <v>-4</v>
      </c>
      <c r="G11" s="12">
        <v>-5</v>
      </c>
      <c r="H11" s="12">
        <v>-6</v>
      </c>
      <c r="I11" s="2">
        <v>-7</v>
      </c>
      <c r="J11" s="2">
        <v>-8</v>
      </c>
      <c r="K11" s="2">
        <v>-9</v>
      </c>
      <c r="L11" s="2">
        <v>-9</v>
      </c>
      <c r="M11" s="2">
        <v>-11</v>
      </c>
      <c r="N11" s="146">
        <v>-10</v>
      </c>
      <c r="O11" s="146">
        <v>-13</v>
      </c>
      <c r="P11" s="147">
        <v>-14</v>
      </c>
      <c r="Q11" s="147">
        <v>-15</v>
      </c>
      <c r="R11" s="147"/>
      <c r="S11" s="147"/>
      <c r="T11" s="147"/>
      <c r="U11" s="148"/>
      <c r="V11" s="149"/>
      <c r="W11" s="149"/>
      <c r="X11" s="147"/>
      <c r="Y11" s="150">
        <v>-11</v>
      </c>
      <c r="Z11" s="150"/>
      <c r="AA11" s="150"/>
      <c r="AB11" s="150">
        <v>-12</v>
      </c>
      <c r="AC11" s="150">
        <v>-13</v>
      </c>
      <c r="AE11" s="133"/>
      <c r="AF11" s="133"/>
      <c r="AG11" s="133"/>
      <c r="AH11" s="133"/>
      <c r="AI11" s="133"/>
      <c r="AJ11" s="133"/>
    </row>
    <row r="12" spans="1:36">
      <c r="A12" s="14"/>
      <c r="B12" s="15"/>
      <c r="C12" s="43"/>
      <c r="F12" s="96"/>
      <c r="G12" s="72"/>
      <c r="H12" s="72"/>
      <c r="I12" s="72"/>
      <c r="J12" s="72"/>
      <c r="K12" s="43"/>
      <c r="L12" s="43"/>
      <c r="M12" s="72"/>
      <c r="N12" s="44"/>
      <c r="O12" s="45"/>
    </row>
    <row r="13" spans="1:36">
      <c r="A13" s="46" t="s">
        <v>9</v>
      </c>
      <c r="B13" s="47"/>
      <c r="C13" s="35"/>
      <c r="F13" s="96"/>
      <c r="G13" s="72"/>
      <c r="I13" s="72"/>
      <c r="J13" s="72"/>
      <c r="K13" s="43"/>
      <c r="L13" s="43"/>
      <c r="M13" s="72"/>
      <c r="N13" s="44"/>
      <c r="O13" s="45"/>
    </row>
    <row r="14" spans="1:36">
      <c r="A14" s="46"/>
      <c r="B14" s="47"/>
      <c r="C14" s="35"/>
      <c r="F14" s="96"/>
      <c r="G14" s="72"/>
      <c r="I14" s="72"/>
      <c r="J14" s="72"/>
      <c r="K14" s="43"/>
      <c r="L14" s="43"/>
      <c r="M14" s="72"/>
      <c r="N14" s="44"/>
      <c r="O14" s="45"/>
    </row>
    <row r="15" spans="1:36">
      <c r="A15" s="14"/>
      <c r="B15" s="22" t="s">
        <v>69</v>
      </c>
      <c r="C15" s="35"/>
      <c r="D15" s="102"/>
      <c r="F15" s="96"/>
      <c r="G15" s="72"/>
      <c r="I15" s="72"/>
      <c r="J15" s="72"/>
      <c r="K15" s="43"/>
      <c r="L15" s="43"/>
      <c r="M15" s="72"/>
      <c r="N15" s="44"/>
      <c r="O15" s="45"/>
      <c r="P15" s="17"/>
    </row>
    <row r="16" spans="1:36">
      <c r="A16" s="14">
        <v>310.2</v>
      </c>
      <c r="B16" s="15" t="s">
        <v>10</v>
      </c>
      <c r="C16" s="138">
        <v>50405</v>
      </c>
      <c r="D16" s="102">
        <v>0</v>
      </c>
      <c r="E16" s="152">
        <v>0</v>
      </c>
      <c r="F16" s="97">
        <v>0</v>
      </c>
      <c r="G16" s="91">
        <f>H16*F16</f>
        <v>0</v>
      </c>
      <c r="H16" s="74">
        <v>35883106.869999997</v>
      </c>
      <c r="I16" s="74">
        <v>18954981</v>
      </c>
      <c r="J16" s="74">
        <f>H16-G16-I16</f>
        <v>16928125.869999997</v>
      </c>
      <c r="K16" s="13">
        <f>2037-2011</f>
        <v>26</v>
      </c>
      <c r="L16" s="32">
        <f t="shared" ref="L16:L21" si="0">(1-(D16/2)*K16)*K16</f>
        <v>26</v>
      </c>
      <c r="M16" s="74">
        <f t="shared" ref="M16:M21" si="1">J16/L16</f>
        <v>651081.76423076913</v>
      </c>
      <c r="N16" s="68">
        <f t="shared" ref="N16:N21" si="2">M16/H16</f>
        <v>1.8144520389205897E-2</v>
      </c>
      <c r="O16" s="32">
        <v>26</v>
      </c>
      <c r="P16" s="13">
        <v>651081</v>
      </c>
      <c r="Q16" s="119">
        <f>M16-P16</f>
        <v>0.76423076912760735</v>
      </c>
      <c r="S16" s="13">
        <v>637460</v>
      </c>
      <c r="T16" s="13">
        <f>M16-S16</f>
        <v>13621.764230769128</v>
      </c>
      <c r="W16" s="124">
        <v>0.4200275</v>
      </c>
      <c r="Y16" s="79">
        <f>M16*W16</f>
        <v>273472.2457254394</v>
      </c>
      <c r="Z16" s="79">
        <f>P16*W16</f>
        <v>273471.92472750001</v>
      </c>
      <c r="AA16" s="79">
        <f>Q16*W16</f>
        <v>0.32099793937974608</v>
      </c>
      <c r="AB16" s="79">
        <f>S16*W16</f>
        <v>267750.73015000002</v>
      </c>
      <c r="AC16" s="79">
        <f>T16*W16</f>
        <v>5721.51557543938</v>
      </c>
    </row>
    <row r="17" spans="1:31">
      <c r="A17" s="14">
        <v>311</v>
      </c>
      <c r="B17" s="15" t="s">
        <v>162</v>
      </c>
      <c r="C17" s="138">
        <v>50405</v>
      </c>
      <c r="D17" s="102">
        <v>2E-3</v>
      </c>
      <c r="E17" s="152">
        <v>2E-3</v>
      </c>
      <c r="F17" s="97">
        <v>-0.02</v>
      </c>
      <c r="G17" s="91">
        <f t="shared" ref="G17:G21" si="3">H17*F17</f>
        <v>-160531.52359999999</v>
      </c>
      <c r="H17" s="74">
        <v>8026576.1799999997</v>
      </c>
      <c r="I17" s="74">
        <v>4056001</v>
      </c>
      <c r="J17" s="74">
        <f t="shared" ref="J17:J21" si="4">H17-G17-I17</f>
        <v>4131106.7035999997</v>
      </c>
      <c r="K17" s="13">
        <f t="shared" ref="K17:K21" si="5">2037-2011</f>
        <v>26</v>
      </c>
      <c r="L17" s="32">
        <f t="shared" si="0"/>
        <v>25.323999999999998</v>
      </c>
      <c r="M17" s="74">
        <f t="shared" si="1"/>
        <v>163130.1020217975</v>
      </c>
      <c r="N17" s="68">
        <f t="shared" si="2"/>
        <v>2.0323746808542407E-2</v>
      </c>
      <c r="O17" s="32">
        <v>25.1</v>
      </c>
      <c r="P17" s="13">
        <v>174475</v>
      </c>
      <c r="Q17" s="119">
        <f t="shared" ref="Q17:Q21" si="6">M17-P17</f>
        <v>-11344.897978202498</v>
      </c>
      <c r="S17" s="13">
        <v>174085</v>
      </c>
      <c r="T17" s="13">
        <f t="shared" ref="T17:T21" si="7">M17-S17</f>
        <v>-10954.897978202498</v>
      </c>
      <c r="W17" s="124">
        <v>0.4200275</v>
      </c>
      <c r="Y17" s="79">
        <f t="shared" ref="Y17:Y21" si="8">M17*W17</f>
        <v>68519.128926960548</v>
      </c>
      <c r="Z17" s="79">
        <f t="shared" ref="Z17:Z21" si="9">P17*W17</f>
        <v>73284.298062500005</v>
      </c>
      <c r="AA17" s="79">
        <f t="shared" ref="AA17:AA21" si="10">Q17*W17</f>
        <v>-4765.1691355394496</v>
      </c>
      <c r="AB17" s="79">
        <f t="shared" ref="AB17:AB21" si="11">S17*W17</f>
        <v>73120.487337500002</v>
      </c>
      <c r="AC17" s="79">
        <f t="shared" ref="AC17:AC21" si="12">T17*W17</f>
        <v>-4601.3584105394493</v>
      </c>
    </row>
    <row r="18" spans="1:31">
      <c r="A18" s="14">
        <v>312</v>
      </c>
      <c r="B18" s="15" t="s">
        <v>11</v>
      </c>
      <c r="C18" s="138">
        <v>50405</v>
      </c>
      <c r="D18" s="102">
        <v>4.4999999999999997E-3</v>
      </c>
      <c r="E18" s="152">
        <v>4.0000000000000001E-3</v>
      </c>
      <c r="F18" s="97">
        <v>-0.02</v>
      </c>
      <c r="G18" s="91">
        <f t="shared" si="3"/>
        <v>-564346.93819999998</v>
      </c>
      <c r="H18" s="74">
        <v>28217346.91</v>
      </c>
      <c r="I18" s="74">
        <v>12572148</v>
      </c>
      <c r="J18" s="74">
        <f t="shared" si="4"/>
        <v>16209545.848200001</v>
      </c>
      <c r="K18" s="13">
        <f t="shared" si="5"/>
        <v>26</v>
      </c>
      <c r="L18" s="32">
        <f t="shared" si="0"/>
        <v>24.478999999999999</v>
      </c>
      <c r="M18" s="74">
        <f t="shared" si="1"/>
        <v>662181.70056783373</v>
      </c>
      <c r="N18" s="68">
        <f t="shared" si="2"/>
        <v>2.346718501494419E-2</v>
      </c>
      <c r="O18" s="32">
        <v>22.9</v>
      </c>
      <c r="P18" s="13">
        <v>732686</v>
      </c>
      <c r="Q18" s="119">
        <f t="shared" si="6"/>
        <v>-70504.29943216627</v>
      </c>
      <c r="S18" s="13">
        <v>904045</v>
      </c>
      <c r="T18" s="13">
        <f t="shared" si="7"/>
        <v>-241863.29943216627</v>
      </c>
      <c r="W18" s="124">
        <v>0.4200275</v>
      </c>
      <c r="Y18" s="79">
        <f t="shared" si="8"/>
        <v>278134.52423525578</v>
      </c>
      <c r="Z18" s="79">
        <f t="shared" si="9"/>
        <v>307748.26886499999</v>
      </c>
      <c r="AA18" s="79">
        <f t="shared" si="10"/>
        <v>-29613.744629744218</v>
      </c>
      <c r="AB18" s="79">
        <f t="shared" si="11"/>
        <v>379723.7612375</v>
      </c>
      <c r="AC18" s="79">
        <f t="shared" si="12"/>
        <v>-101589.23700224422</v>
      </c>
    </row>
    <row r="19" spans="1:31">
      <c r="A19" s="14">
        <v>314</v>
      </c>
      <c r="B19" s="15" t="s">
        <v>12</v>
      </c>
      <c r="C19" s="138">
        <v>50405</v>
      </c>
      <c r="D19" s="102">
        <v>6.0000000000000001E-3</v>
      </c>
      <c r="E19" s="152">
        <v>6.0000000000000001E-3</v>
      </c>
      <c r="F19" s="97">
        <v>-0.02</v>
      </c>
      <c r="G19" s="91">
        <f t="shared" si="3"/>
        <v>-640755.32680000004</v>
      </c>
      <c r="H19" s="74">
        <v>32037766.34</v>
      </c>
      <c r="I19" s="74">
        <v>11896784</v>
      </c>
      <c r="J19" s="74">
        <f t="shared" si="4"/>
        <v>20781737.6668</v>
      </c>
      <c r="K19" s="13">
        <f t="shared" si="5"/>
        <v>26</v>
      </c>
      <c r="L19" s="32">
        <f t="shared" si="0"/>
        <v>23.972000000000001</v>
      </c>
      <c r="M19" s="74">
        <f t="shared" si="1"/>
        <v>866917.13944602024</v>
      </c>
      <c r="N19" s="68">
        <f t="shared" si="2"/>
        <v>2.7059225360653538E-2</v>
      </c>
      <c r="O19" s="32">
        <v>23</v>
      </c>
      <c r="P19" s="13">
        <v>960425</v>
      </c>
      <c r="Q19" s="119">
        <f t="shared" si="6"/>
        <v>-93507.860553979757</v>
      </c>
      <c r="S19" s="13">
        <v>979401</v>
      </c>
      <c r="T19" s="13">
        <f t="shared" si="7"/>
        <v>-112483.86055397976</v>
      </c>
      <c r="W19" s="124">
        <v>0.4200275</v>
      </c>
      <c r="Y19" s="79">
        <f t="shared" si="8"/>
        <v>364129.03878866328</v>
      </c>
      <c r="Z19" s="79">
        <f t="shared" si="9"/>
        <v>403404.91168750002</v>
      </c>
      <c r="AA19" s="79">
        <f t="shared" si="10"/>
        <v>-39275.872898836729</v>
      </c>
      <c r="AB19" s="79">
        <f t="shared" si="11"/>
        <v>411375.3535275</v>
      </c>
      <c r="AC19" s="79">
        <f t="shared" si="12"/>
        <v>-47246.314738836729</v>
      </c>
    </row>
    <row r="20" spans="1:31">
      <c r="A20" s="14">
        <v>315</v>
      </c>
      <c r="B20" s="15" t="s">
        <v>13</v>
      </c>
      <c r="C20" s="138">
        <v>50405</v>
      </c>
      <c r="D20" s="102">
        <v>1.5E-3</v>
      </c>
      <c r="E20" s="152">
        <v>1.5E-3</v>
      </c>
      <c r="F20" s="97">
        <v>-0.02</v>
      </c>
      <c r="G20" s="91">
        <f t="shared" si="3"/>
        <v>-150024.19460000002</v>
      </c>
      <c r="H20" s="74">
        <v>7501209.7300000004</v>
      </c>
      <c r="I20" s="74">
        <v>3310874</v>
      </c>
      <c r="J20" s="74">
        <f t="shared" si="4"/>
        <v>4340359.9246000005</v>
      </c>
      <c r="K20" s="13">
        <f t="shared" si="5"/>
        <v>26</v>
      </c>
      <c r="L20" s="32">
        <f t="shared" si="0"/>
        <v>25.493000000000002</v>
      </c>
      <c r="M20" s="74">
        <f t="shared" si="1"/>
        <v>170256.93031812654</v>
      </c>
      <c r="N20" s="68">
        <f t="shared" si="2"/>
        <v>2.2697263034415455E-2</v>
      </c>
      <c r="O20" s="32">
        <v>25</v>
      </c>
      <c r="P20" s="13">
        <v>176325</v>
      </c>
      <c r="Q20" s="119">
        <f t="shared" si="6"/>
        <v>-6068.0696818734577</v>
      </c>
      <c r="S20" s="13">
        <v>180669</v>
      </c>
      <c r="T20" s="13">
        <f t="shared" si="7"/>
        <v>-10412.069681873458</v>
      </c>
      <c r="W20" s="124">
        <v>0.4200275</v>
      </c>
      <c r="Y20" s="79">
        <f t="shared" si="8"/>
        <v>71512.592799196893</v>
      </c>
      <c r="Z20" s="79">
        <f t="shared" si="9"/>
        <v>74061.348937500006</v>
      </c>
      <c r="AA20" s="79">
        <f t="shared" si="10"/>
        <v>-2548.7561383031039</v>
      </c>
      <c r="AB20" s="79">
        <f t="shared" si="11"/>
        <v>75885.948397500004</v>
      </c>
      <c r="AC20" s="79">
        <f t="shared" si="12"/>
        <v>-4373.3555983031038</v>
      </c>
    </row>
    <row r="21" spans="1:31">
      <c r="A21" s="14">
        <v>316</v>
      </c>
      <c r="B21" s="15" t="s">
        <v>378</v>
      </c>
      <c r="C21" s="138">
        <v>50405</v>
      </c>
      <c r="D21" s="102">
        <v>1.6E-2</v>
      </c>
      <c r="E21" s="152">
        <v>1.4999999999999999E-2</v>
      </c>
      <c r="F21" s="97">
        <v>-0.03</v>
      </c>
      <c r="G21" s="91">
        <f t="shared" si="3"/>
        <v>-37237.848899999997</v>
      </c>
      <c r="H21" s="74">
        <v>1241261.6299999999</v>
      </c>
      <c r="I21" s="74">
        <v>447831</v>
      </c>
      <c r="J21" s="74">
        <f t="shared" si="4"/>
        <v>830668.47889999999</v>
      </c>
      <c r="K21" s="13">
        <f t="shared" si="5"/>
        <v>26</v>
      </c>
      <c r="L21" s="32">
        <f t="shared" si="0"/>
        <v>20.592000000000002</v>
      </c>
      <c r="M21" s="74">
        <f t="shared" si="1"/>
        <v>40339.378345959594</v>
      </c>
      <c r="N21" s="88">
        <f t="shared" si="2"/>
        <v>3.2498691146974068E-2</v>
      </c>
      <c r="O21" s="32">
        <v>20.8</v>
      </c>
      <c r="P21" s="13">
        <v>41169</v>
      </c>
      <c r="Q21" s="119">
        <f t="shared" si="6"/>
        <v>-829.6216540404057</v>
      </c>
      <c r="S21" s="13">
        <v>41782</v>
      </c>
      <c r="T21" s="13">
        <f t="shared" si="7"/>
        <v>-1442.6216540404057</v>
      </c>
      <c r="W21" s="124">
        <v>0.4200275</v>
      </c>
      <c r="Y21" s="79">
        <f t="shared" si="8"/>
        <v>16943.648238207545</v>
      </c>
      <c r="Z21" s="79">
        <f t="shared" si="9"/>
        <v>17292.1121475</v>
      </c>
      <c r="AA21" s="79">
        <f t="shared" si="10"/>
        <v>-348.46390929245649</v>
      </c>
      <c r="AB21" s="79">
        <f t="shared" si="11"/>
        <v>17549.589005000002</v>
      </c>
      <c r="AC21" s="79">
        <f t="shared" si="12"/>
        <v>-605.94076679245654</v>
      </c>
    </row>
    <row r="22" spans="1:31">
      <c r="A22" s="14"/>
      <c r="B22" s="33" t="s">
        <v>280</v>
      </c>
      <c r="C22" s="23"/>
      <c r="D22" s="102"/>
      <c r="E22" s="152"/>
      <c r="F22" s="96"/>
      <c r="G22" s="72"/>
      <c r="H22" s="75">
        <f>+SUBTOTAL(9,H16:H21)</f>
        <v>112907267.66</v>
      </c>
      <c r="I22" s="75">
        <f>+SUBTOTAL(9,I16:I21)</f>
        <v>51238619</v>
      </c>
      <c r="J22" s="75">
        <f>+SUBTOTAL(9,J16:J21)</f>
        <v>63221544.4921</v>
      </c>
      <c r="K22" s="13"/>
      <c r="L22" s="13"/>
      <c r="M22" s="75">
        <f>+SUBTOTAL(9,M16:M21)</f>
        <v>2553907.0149305067</v>
      </c>
      <c r="N22" s="27">
        <f>+ROUND(M22/H22*100,2)</f>
        <v>2.2599999999999998</v>
      </c>
      <c r="O22" s="31"/>
      <c r="P22" s="103">
        <f>+SUBTOTAL(9,P16:P21)</f>
        <v>2736161</v>
      </c>
      <c r="Q22" s="120">
        <f>+SUBTOTAL(9,Q16:Q21)</f>
        <v>-182253.98506949327</v>
      </c>
      <c r="S22" s="103">
        <f>+SUBTOTAL(9,S16:S21)</f>
        <v>2917442</v>
      </c>
      <c r="T22" s="103">
        <f>+SUBTOTAL(9,T16:T21)</f>
        <v>-363534.9850694933</v>
      </c>
      <c r="Y22" s="75">
        <f t="shared" ref="Y22:AC22" si="13">+SUBTOTAL(9,Y16:Y21)</f>
        <v>1072711.1787137233</v>
      </c>
      <c r="Z22" s="75">
        <f t="shared" si="13"/>
        <v>1149262.8644275002</v>
      </c>
      <c r="AA22" s="75">
        <f t="shared" si="13"/>
        <v>-76551.685713776576</v>
      </c>
      <c r="AB22" s="75">
        <f t="shared" si="13"/>
        <v>1225405.869655</v>
      </c>
      <c r="AC22" s="75">
        <f t="shared" si="13"/>
        <v>-152694.69094127658</v>
      </c>
    </row>
    <row r="23" spans="1:31">
      <c r="A23" s="14"/>
      <c r="B23" s="15"/>
      <c r="C23" s="43"/>
      <c r="E23" s="153"/>
      <c r="F23" s="96"/>
      <c r="G23" s="72"/>
      <c r="I23" s="73"/>
      <c r="J23" s="73"/>
      <c r="K23" s="19"/>
      <c r="L23" s="19"/>
      <c r="M23" s="73"/>
      <c r="N23" s="27"/>
      <c r="O23" s="31"/>
      <c r="P23" s="19"/>
      <c r="S23" s="19"/>
      <c r="T23" s="19"/>
    </row>
    <row r="24" spans="1:31">
      <c r="A24" s="14"/>
      <c r="B24" s="22" t="s">
        <v>70</v>
      </c>
      <c r="C24" s="17"/>
      <c r="E24" s="153"/>
      <c r="I24" s="73"/>
      <c r="J24" s="73"/>
      <c r="K24" s="19"/>
      <c r="L24" s="19"/>
      <c r="M24" s="73"/>
      <c r="N24" s="27"/>
      <c r="O24" s="31"/>
      <c r="P24" s="19"/>
      <c r="S24" s="19"/>
      <c r="T24" s="19"/>
    </row>
    <row r="25" spans="1:31">
      <c r="A25" s="14">
        <v>311</v>
      </c>
      <c r="B25" s="15" t="s">
        <v>162</v>
      </c>
      <c r="C25" s="138">
        <v>42124</v>
      </c>
      <c r="D25" s="102">
        <v>2E-3</v>
      </c>
      <c r="E25" s="152">
        <v>2E-3</v>
      </c>
      <c r="F25" s="97">
        <v>-0.04</v>
      </c>
      <c r="G25" s="91">
        <f t="shared" ref="G25:G29" si="14">H25*F25</f>
        <v>-614563.02280000004</v>
      </c>
      <c r="H25" s="74">
        <v>15364075.57</v>
      </c>
      <c r="I25" s="74">
        <v>9043571</v>
      </c>
      <c r="J25" s="74">
        <f t="shared" ref="J25:J29" si="15">H25-G25-I25</f>
        <v>6935067.5928000007</v>
      </c>
      <c r="K25" s="28">
        <f>3+(4/12)</f>
        <v>3.3333333333333335</v>
      </c>
      <c r="L25" s="32">
        <f>(1-(D25/2)*K25)*K25</f>
        <v>3.3222222222222224</v>
      </c>
      <c r="M25" s="74">
        <f>J25/L25</f>
        <v>2087478.5396387961</v>
      </c>
      <c r="N25" s="68">
        <f>M25/H25</f>
        <v>0.13586750013875362</v>
      </c>
      <c r="O25" s="32">
        <v>3.3</v>
      </c>
      <c r="P25" s="13">
        <v>4128150</v>
      </c>
      <c r="Q25" s="119">
        <f t="shared" ref="Q25:Q29" si="16">M25-P25</f>
        <v>-2040671.4603612039</v>
      </c>
      <c r="S25" s="13">
        <v>9745917</v>
      </c>
      <c r="T25" s="13">
        <f t="shared" ref="T25:T29" si="17">M25-S25</f>
        <v>-7658438.4603612041</v>
      </c>
      <c r="W25" s="124">
        <v>0.4200275</v>
      </c>
      <c r="Y25" s="79">
        <f t="shared" ref="Y25:Y29" si="18">M25*W25</f>
        <v>876798.39230813447</v>
      </c>
      <c r="Z25" s="79">
        <f t="shared" ref="Z25:Z29" si="19">P25*W25</f>
        <v>1733936.524125</v>
      </c>
      <c r="AA25" s="79">
        <f t="shared" ref="AA25:AA29" si="20">Q25*W25</f>
        <v>-857138.13181686553</v>
      </c>
      <c r="AB25" s="79">
        <f t="shared" ref="AB25:AB29" si="21">S25*W25</f>
        <v>4093553.1527175</v>
      </c>
      <c r="AC25" s="79">
        <f t="shared" ref="AC25:AC29" si="22">T25*W25</f>
        <v>-3216754.7604093659</v>
      </c>
    </row>
    <row r="26" spans="1:31">
      <c r="A26" s="14">
        <v>312</v>
      </c>
      <c r="B26" s="15" t="s">
        <v>11</v>
      </c>
      <c r="C26" s="138">
        <v>42124</v>
      </c>
      <c r="D26" s="102">
        <v>4.4999999999999997E-3</v>
      </c>
      <c r="E26" s="152">
        <v>4.0000000000000001E-3</v>
      </c>
      <c r="F26" s="97">
        <v>-0.04</v>
      </c>
      <c r="G26" s="91">
        <f t="shared" si="14"/>
        <v>-2753256.9956</v>
      </c>
      <c r="H26" s="74">
        <v>68831424.890000001</v>
      </c>
      <c r="I26" s="74">
        <v>36934687</v>
      </c>
      <c r="J26" s="74">
        <f t="shared" si="15"/>
        <v>34649994.885600001</v>
      </c>
      <c r="K26" s="28">
        <f t="shared" ref="K26:K29" si="23">3+(4/12)</f>
        <v>3.3333333333333335</v>
      </c>
      <c r="L26" s="32">
        <f>(1-(D26/2)*K26)*K26</f>
        <v>3.3083333333333336</v>
      </c>
      <c r="M26" s="74">
        <f>J26/L26</f>
        <v>10473550.091365239</v>
      </c>
      <c r="N26" s="68">
        <f>M26/H26</f>
        <v>0.15216233149470748</v>
      </c>
      <c r="O26" s="32">
        <v>3.3</v>
      </c>
      <c r="P26" s="13">
        <v>19718731</v>
      </c>
      <c r="Q26" s="119">
        <f t="shared" si="16"/>
        <v>-9245180.9086347613</v>
      </c>
      <c r="S26" s="13">
        <v>47039905</v>
      </c>
      <c r="T26" s="13">
        <f t="shared" si="17"/>
        <v>-36566354.908634759</v>
      </c>
      <c r="W26" s="124">
        <v>0.4200275</v>
      </c>
      <c r="Y26" s="79">
        <f t="shared" si="18"/>
        <v>4399179.0610009125</v>
      </c>
      <c r="Z26" s="79">
        <f t="shared" si="19"/>
        <v>8282409.2851024996</v>
      </c>
      <c r="AA26" s="79">
        <f t="shared" si="20"/>
        <v>-3883230.2241015872</v>
      </c>
      <c r="AB26" s="79">
        <f t="shared" si="21"/>
        <v>19758053.697387502</v>
      </c>
      <c r="AC26" s="79">
        <f t="shared" si="22"/>
        <v>-15358874.636386586</v>
      </c>
    </row>
    <row r="27" spans="1:31">
      <c r="A27" s="14">
        <v>314</v>
      </c>
      <c r="B27" s="15" t="s">
        <v>12</v>
      </c>
      <c r="C27" s="138">
        <v>42124</v>
      </c>
      <c r="D27" s="102">
        <v>6.0000000000000001E-3</v>
      </c>
      <c r="E27" s="152">
        <v>6.0000000000000001E-3</v>
      </c>
      <c r="F27" s="97">
        <v>-0.04</v>
      </c>
      <c r="G27" s="91">
        <f t="shared" si="14"/>
        <v>-1134041.9548000002</v>
      </c>
      <c r="H27" s="74">
        <v>28351048.870000001</v>
      </c>
      <c r="I27" s="74">
        <v>14895098</v>
      </c>
      <c r="J27" s="74">
        <f t="shared" si="15"/>
        <v>14589992.8248</v>
      </c>
      <c r="K27" s="28">
        <f t="shared" si="23"/>
        <v>3.3333333333333335</v>
      </c>
      <c r="L27" s="32">
        <f>(1-(D27/2)*K27)*K27</f>
        <v>3.3000000000000003</v>
      </c>
      <c r="M27" s="74">
        <f>J27/L27</f>
        <v>4421209.9469090905</v>
      </c>
      <c r="N27" s="68">
        <f>M27/H27</f>
        <v>0.1559451986126498</v>
      </c>
      <c r="O27" s="32">
        <v>3.3</v>
      </c>
      <c r="P27" s="13">
        <v>8233237</v>
      </c>
      <c r="Q27" s="119">
        <f t="shared" si="16"/>
        <v>-3812027.0530909095</v>
      </c>
      <c r="S27" s="13">
        <v>18973875</v>
      </c>
      <c r="T27" s="13">
        <f t="shared" si="17"/>
        <v>-14552665.053090909</v>
      </c>
      <c r="W27" s="124">
        <v>0.4200275</v>
      </c>
      <c r="Y27" s="79">
        <f t="shared" si="18"/>
        <v>1857029.7609753581</v>
      </c>
      <c r="Z27" s="79">
        <f t="shared" si="19"/>
        <v>3458185.9540174999</v>
      </c>
      <c r="AA27" s="79">
        <f t="shared" si="20"/>
        <v>-1601156.1930421421</v>
      </c>
      <c r="AB27" s="79">
        <f t="shared" si="21"/>
        <v>7969549.2815624997</v>
      </c>
      <c r="AC27" s="79">
        <f t="shared" si="22"/>
        <v>-6112519.5205871416</v>
      </c>
    </row>
    <row r="28" spans="1:31">
      <c r="A28" s="14">
        <v>315</v>
      </c>
      <c r="B28" s="15" t="s">
        <v>13</v>
      </c>
      <c r="C28" s="138">
        <v>42124</v>
      </c>
      <c r="D28" s="102">
        <v>1.5E-3</v>
      </c>
      <c r="E28" s="152">
        <v>1.5E-3</v>
      </c>
      <c r="F28" s="97">
        <v>-0.04</v>
      </c>
      <c r="G28" s="91">
        <f t="shared" si="14"/>
        <v>-248723.76680000001</v>
      </c>
      <c r="H28" s="74">
        <v>6218094.1699999999</v>
      </c>
      <c r="I28" s="74">
        <v>3254763</v>
      </c>
      <c r="J28" s="74">
        <f t="shared" si="15"/>
        <v>3212054.9368000003</v>
      </c>
      <c r="K28" s="28">
        <f t="shared" si="23"/>
        <v>3.3333333333333335</v>
      </c>
      <c r="L28" s="32">
        <f>(1-(D28/2)*K28)*K28</f>
        <v>3.3250000000000002</v>
      </c>
      <c r="M28" s="74">
        <f>J28/L28</f>
        <v>966031.55993984966</v>
      </c>
      <c r="N28" s="68">
        <f>M28/H28</f>
        <v>0.1553581424676059</v>
      </c>
      <c r="O28" s="32">
        <v>3.3</v>
      </c>
      <c r="P28" s="13">
        <v>1795184</v>
      </c>
      <c r="Q28" s="119">
        <f t="shared" si="16"/>
        <v>-829152.44006015034</v>
      </c>
      <c r="S28" s="13">
        <v>4228338</v>
      </c>
      <c r="T28" s="13">
        <f t="shared" si="17"/>
        <v>-3262306.4400601503</v>
      </c>
      <c r="W28" s="124">
        <v>0.4200275</v>
      </c>
      <c r="Y28" s="79">
        <f t="shared" si="18"/>
        <v>405759.82104263519</v>
      </c>
      <c r="Z28" s="79">
        <f t="shared" si="19"/>
        <v>754026.64755999995</v>
      </c>
      <c r="AA28" s="79">
        <f t="shared" si="20"/>
        <v>-348266.82651736483</v>
      </c>
      <c r="AB28" s="79">
        <f t="shared" si="21"/>
        <v>1776018.239295</v>
      </c>
      <c r="AC28" s="79">
        <f t="shared" si="22"/>
        <v>-1370258.4182523647</v>
      </c>
    </row>
    <row r="29" spans="1:31">
      <c r="A29" s="14">
        <v>316</v>
      </c>
      <c r="B29" s="15" t="s">
        <v>378</v>
      </c>
      <c r="C29" s="138">
        <v>42124</v>
      </c>
      <c r="D29" s="102">
        <v>1.6E-2</v>
      </c>
      <c r="E29" s="152">
        <v>1.4999999999999999E-2</v>
      </c>
      <c r="F29" s="97">
        <v>-0.04</v>
      </c>
      <c r="G29" s="91">
        <f t="shared" si="14"/>
        <v>-32381.824800000002</v>
      </c>
      <c r="H29" s="74">
        <v>809545.62</v>
      </c>
      <c r="I29" s="74">
        <v>313789</v>
      </c>
      <c r="J29" s="74">
        <f t="shared" si="15"/>
        <v>528138.44479999994</v>
      </c>
      <c r="K29" s="28">
        <f t="shared" si="23"/>
        <v>3.3333333333333335</v>
      </c>
      <c r="L29" s="32">
        <f>(1-(D29/2)*K29)*K29</f>
        <v>3.2444444444444449</v>
      </c>
      <c r="M29" s="74">
        <f>J29/L29</f>
        <v>162782.39736986297</v>
      </c>
      <c r="N29" s="88">
        <f>M29/H29</f>
        <v>0.20107872039362398</v>
      </c>
      <c r="O29" s="32">
        <v>3.3</v>
      </c>
      <c r="P29" s="13">
        <v>269434</v>
      </c>
      <c r="Q29" s="119">
        <f t="shared" si="16"/>
        <v>-106651.60263013703</v>
      </c>
      <c r="S29" s="13">
        <v>626361</v>
      </c>
      <c r="T29" s="13">
        <f t="shared" si="17"/>
        <v>-463578.602630137</v>
      </c>
      <c r="W29" s="124">
        <v>0.4200275</v>
      </c>
      <c r="Y29" s="79">
        <f t="shared" si="18"/>
        <v>68373.083411270112</v>
      </c>
      <c r="Z29" s="79">
        <f t="shared" si="19"/>
        <v>113169.68943499999</v>
      </c>
      <c r="AA29" s="79">
        <f t="shared" si="20"/>
        <v>-44796.606023729881</v>
      </c>
      <c r="AB29" s="79">
        <f t="shared" si="21"/>
        <v>263088.8449275</v>
      </c>
      <c r="AC29" s="79">
        <f t="shared" si="22"/>
        <v>-194715.76151622986</v>
      </c>
      <c r="AE29" s="79"/>
    </row>
    <row r="30" spans="1:31">
      <c r="A30" s="14"/>
      <c r="B30" s="33" t="s">
        <v>279</v>
      </c>
      <c r="C30" s="23"/>
      <c r="D30" s="102"/>
      <c r="E30" s="152"/>
      <c r="F30" s="96"/>
      <c r="G30" s="72"/>
      <c r="H30" s="75">
        <f>+SUBTOTAL(9,H24:H29)</f>
        <v>119574189.12000002</v>
      </c>
      <c r="I30" s="75">
        <f>+SUBTOTAL(9,I24:I29)</f>
        <v>64441908</v>
      </c>
      <c r="J30" s="75">
        <f>+SUBTOTAL(9,J24:J29)</f>
        <v>59915248.684799999</v>
      </c>
      <c r="K30" s="13"/>
      <c r="L30" s="13"/>
      <c r="M30" s="75">
        <f>+SUBTOTAL(9,M24:M29)</f>
        <v>18111052.53522284</v>
      </c>
      <c r="N30" s="27">
        <f>+ROUND(M30/H30*100,2)</f>
        <v>15.15</v>
      </c>
      <c r="O30" s="31"/>
      <c r="P30" s="103">
        <f>+SUBTOTAL(9,P24:P29)</f>
        <v>34144736</v>
      </c>
      <c r="Q30" s="120">
        <f>+SUBTOTAL(9,Q24:Q29)</f>
        <v>-16033683.46477716</v>
      </c>
      <c r="S30" s="103">
        <f>+SUBTOTAL(9,S24:S29)</f>
        <v>80614396</v>
      </c>
      <c r="T30" s="103">
        <f>+SUBTOTAL(9,T24:T29)</f>
        <v>-62503343.464777164</v>
      </c>
      <c r="Y30" s="75">
        <f t="shared" ref="Y30:AC30" si="24">+SUBTOTAL(9,Y24:Y29)</f>
        <v>7607140.1187383104</v>
      </c>
      <c r="Z30" s="75">
        <f t="shared" si="24"/>
        <v>14341728.10024</v>
      </c>
      <c r="AA30" s="75">
        <f t="shared" si="24"/>
        <v>-6734587.9815016901</v>
      </c>
      <c r="AB30" s="75">
        <f t="shared" si="24"/>
        <v>33860263.215889998</v>
      </c>
      <c r="AC30" s="75">
        <f t="shared" si="24"/>
        <v>-26253123.097151686</v>
      </c>
      <c r="AE30" s="79"/>
    </row>
    <row r="31" spans="1:31">
      <c r="A31" s="14"/>
      <c r="B31" s="15"/>
      <c r="C31" s="43"/>
      <c r="E31" s="153"/>
      <c r="F31" s="96"/>
      <c r="G31" s="72"/>
      <c r="I31" s="73"/>
      <c r="J31" s="73"/>
      <c r="K31" s="19"/>
      <c r="L31" s="19"/>
      <c r="M31" s="73"/>
      <c r="N31" s="27"/>
      <c r="O31" s="31"/>
      <c r="P31" s="19"/>
      <c r="S31" s="19"/>
      <c r="T31" s="19"/>
      <c r="AE31" s="79"/>
    </row>
    <row r="32" spans="1:31">
      <c r="A32" s="14"/>
      <c r="B32" s="22" t="s">
        <v>71</v>
      </c>
      <c r="C32" s="43"/>
      <c r="E32" s="153"/>
      <c r="F32" s="96"/>
      <c r="G32" s="72"/>
      <c r="I32" s="73"/>
      <c r="J32" s="73"/>
      <c r="K32" s="19"/>
      <c r="L32" s="19"/>
      <c r="M32" s="73"/>
      <c r="N32" s="27"/>
      <c r="O32" s="31"/>
      <c r="P32" s="19"/>
      <c r="S32" s="19"/>
      <c r="T32" s="19"/>
      <c r="AE32" s="79"/>
    </row>
    <row r="33" spans="1:31">
      <c r="A33" s="14">
        <v>310.2</v>
      </c>
      <c r="B33" s="15" t="s">
        <v>10</v>
      </c>
      <c r="C33" s="138">
        <v>52231</v>
      </c>
      <c r="D33" s="102">
        <v>0</v>
      </c>
      <c r="E33" s="152">
        <v>0</v>
      </c>
      <c r="F33" s="97">
        <v>0</v>
      </c>
      <c r="G33" s="91">
        <f t="shared" ref="G33:G38" si="25">H33*F33</f>
        <v>0</v>
      </c>
      <c r="H33" s="74">
        <v>1201891.8500000001</v>
      </c>
      <c r="I33" s="74">
        <v>121464</v>
      </c>
      <c r="J33" s="74">
        <f t="shared" ref="J33:J38" si="26">H33-G33-I33</f>
        <v>1080427.8500000001</v>
      </c>
      <c r="K33" s="13">
        <f>2042-2011</f>
        <v>31</v>
      </c>
      <c r="L33" s="32">
        <f t="shared" ref="L33:L38" si="27">(1-(D33/2)*K33)*K33</f>
        <v>31</v>
      </c>
      <c r="M33" s="74">
        <f t="shared" ref="M33:M38" si="28">J33/L33</f>
        <v>34852.511290322582</v>
      </c>
      <c r="N33" s="68">
        <f t="shared" ref="N33:N38" si="29">M33/H33</f>
        <v>2.8998042785898397E-2</v>
      </c>
      <c r="O33" s="32">
        <v>31</v>
      </c>
      <c r="P33" s="13">
        <v>34853</v>
      </c>
      <c r="Q33" s="119">
        <f t="shared" ref="Q33:Q38" si="30">M33-P33</f>
        <v>-0.48870967741822824</v>
      </c>
      <c r="S33" s="13">
        <v>34819</v>
      </c>
      <c r="T33" s="13">
        <f t="shared" ref="T33:T38" si="31">M33-S33</f>
        <v>33.511290322581772</v>
      </c>
      <c r="W33" s="124">
        <v>0.4200275</v>
      </c>
      <c r="Y33" s="79">
        <f t="shared" ref="Y33:Y38" si="32">M33*W33</f>
        <v>14639.013185995967</v>
      </c>
      <c r="Z33" s="79">
        <f t="shared" ref="Z33:Z38" si="33">P33*W33</f>
        <v>14639.218457499999</v>
      </c>
      <c r="AA33" s="79">
        <f t="shared" ref="AA33:AA38" si="34">Q33*W33</f>
        <v>-0.20527150403178487</v>
      </c>
      <c r="AB33" s="79">
        <f t="shared" ref="AB33:AB38" si="35">S33*W33</f>
        <v>14624.9375225</v>
      </c>
      <c r="AC33" s="79">
        <f t="shared" ref="AC33:AC38" si="36">T33*W33</f>
        <v>14.075663495968215</v>
      </c>
      <c r="AE33" s="79"/>
    </row>
    <row r="34" spans="1:31">
      <c r="A34" s="14">
        <v>311</v>
      </c>
      <c r="B34" s="15" t="s">
        <v>162</v>
      </c>
      <c r="C34" s="138">
        <v>52231</v>
      </c>
      <c r="D34" s="102">
        <v>2E-3</v>
      </c>
      <c r="E34" s="152">
        <v>2E-3</v>
      </c>
      <c r="F34" s="97">
        <v>-0.03</v>
      </c>
      <c r="G34" s="91">
        <f t="shared" si="25"/>
        <v>-1794709.6985999998</v>
      </c>
      <c r="H34" s="74">
        <v>59823656.619999997</v>
      </c>
      <c r="I34" s="74">
        <v>22580228</v>
      </c>
      <c r="J34" s="74">
        <f t="shared" si="26"/>
        <v>39038138.318599999</v>
      </c>
      <c r="K34" s="13">
        <f t="shared" ref="K34:K38" si="37">2042-2011</f>
        <v>31</v>
      </c>
      <c r="L34" s="32">
        <f t="shared" si="27"/>
        <v>30.038999999999998</v>
      </c>
      <c r="M34" s="74">
        <f t="shared" si="28"/>
        <v>1299581.8209194713</v>
      </c>
      <c r="N34" s="68">
        <f t="shared" si="29"/>
        <v>2.1723543734118729E-2</v>
      </c>
      <c r="O34" s="32">
        <v>29.6</v>
      </c>
      <c r="P34" s="13">
        <v>1402045</v>
      </c>
      <c r="Q34" s="119">
        <f t="shared" si="30"/>
        <v>-102463.17908052867</v>
      </c>
      <c r="S34" s="13">
        <v>1432099</v>
      </c>
      <c r="T34" s="13">
        <f t="shared" si="31"/>
        <v>-132517.17908052867</v>
      </c>
      <c r="W34" s="124">
        <v>0.4200275</v>
      </c>
      <c r="Y34" s="79">
        <f t="shared" si="32"/>
        <v>545860.10328625329</v>
      </c>
      <c r="Z34" s="79">
        <f t="shared" si="33"/>
        <v>588897.45623749995</v>
      </c>
      <c r="AA34" s="79">
        <f t="shared" si="34"/>
        <v>-43037.352951246758</v>
      </c>
      <c r="AB34" s="79">
        <f t="shared" si="35"/>
        <v>601520.96272249997</v>
      </c>
      <c r="AC34" s="79">
        <f t="shared" si="36"/>
        <v>-55660.859436246756</v>
      </c>
    </row>
    <row r="35" spans="1:31">
      <c r="A35" s="14">
        <v>312</v>
      </c>
      <c r="B35" s="15" t="s">
        <v>11</v>
      </c>
      <c r="C35" s="138">
        <v>52231</v>
      </c>
      <c r="D35" s="102">
        <v>4.4999999999999997E-3</v>
      </c>
      <c r="E35" s="152">
        <v>4.0000000000000001E-3</v>
      </c>
      <c r="F35" s="97">
        <v>-0.03</v>
      </c>
      <c r="G35" s="91">
        <f t="shared" si="25"/>
        <v>-9777687.3812999986</v>
      </c>
      <c r="H35" s="74">
        <v>325922912.70999998</v>
      </c>
      <c r="I35" s="74">
        <v>95109183</v>
      </c>
      <c r="J35" s="74">
        <f t="shared" si="26"/>
        <v>240591417.09129995</v>
      </c>
      <c r="K35" s="13">
        <f t="shared" si="37"/>
        <v>31</v>
      </c>
      <c r="L35" s="32">
        <f t="shared" si="27"/>
        <v>28.83775</v>
      </c>
      <c r="M35" s="74">
        <f t="shared" si="28"/>
        <v>8342933.0336555364</v>
      </c>
      <c r="N35" s="68">
        <f t="shared" si="29"/>
        <v>2.5597872098912296E-2</v>
      </c>
      <c r="O35" s="32">
        <v>26.8</v>
      </c>
      <c r="P35" s="13">
        <v>9335627</v>
      </c>
      <c r="Q35" s="119">
        <f t="shared" si="30"/>
        <v>-992693.96634446364</v>
      </c>
      <c r="S35" s="13">
        <v>10275967</v>
      </c>
      <c r="T35" s="13">
        <f t="shared" si="31"/>
        <v>-1933033.9663444636</v>
      </c>
      <c r="W35" s="124">
        <v>0.4200275</v>
      </c>
      <c r="Y35" s="79">
        <f t="shared" si="32"/>
        <v>3504261.3047937509</v>
      </c>
      <c r="Z35" s="79">
        <f t="shared" si="33"/>
        <v>3921220.0697424999</v>
      </c>
      <c r="AA35" s="79">
        <f t="shared" si="34"/>
        <v>-416958.76494874922</v>
      </c>
      <c r="AB35" s="79">
        <f t="shared" si="35"/>
        <v>4316188.7290925002</v>
      </c>
      <c r="AC35" s="79">
        <f t="shared" si="36"/>
        <v>-811927.42429874919</v>
      </c>
    </row>
    <row r="36" spans="1:31">
      <c r="A36" s="14">
        <v>314</v>
      </c>
      <c r="B36" s="15" t="s">
        <v>12</v>
      </c>
      <c r="C36" s="138">
        <v>52231</v>
      </c>
      <c r="D36" s="102">
        <v>6.0000000000000001E-3</v>
      </c>
      <c r="E36" s="152">
        <v>6.0000000000000001E-3</v>
      </c>
      <c r="F36" s="97">
        <v>-0.04</v>
      </c>
      <c r="G36" s="91">
        <f t="shared" si="25"/>
        <v>-2641919.4948</v>
      </c>
      <c r="H36" s="74">
        <v>66047987.369999997</v>
      </c>
      <c r="I36" s="74">
        <v>23812449</v>
      </c>
      <c r="J36" s="74">
        <f t="shared" si="26"/>
        <v>44877457.864799991</v>
      </c>
      <c r="K36" s="13">
        <f t="shared" si="37"/>
        <v>31</v>
      </c>
      <c r="L36" s="32">
        <f t="shared" si="27"/>
        <v>28.117000000000001</v>
      </c>
      <c r="M36" s="74">
        <f t="shared" si="28"/>
        <v>1596096.9472134293</v>
      </c>
      <c r="N36" s="68">
        <f t="shared" si="29"/>
        <v>2.4165716636785829E-2</v>
      </c>
      <c r="O36" s="32">
        <v>25.4</v>
      </c>
      <c r="P36" s="13">
        <v>1868289</v>
      </c>
      <c r="Q36" s="119">
        <f t="shared" si="30"/>
        <v>-272192.05278657074</v>
      </c>
      <c r="S36" s="13">
        <v>2007513</v>
      </c>
      <c r="T36" s="13">
        <f t="shared" si="31"/>
        <v>-411416.05278657074</v>
      </c>
      <c r="W36" s="124">
        <v>0.4200275</v>
      </c>
      <c r="Y36" s="79">
        <f t="shared" si="32"/>
        <v>670404.61049568863</v>
      </c>
      <c r="Z36" s="79">
        <f t="shared" si="33"/>
        <v>784732.75794749998</v>
      </c>
      <c r="AA36" s="79">
        <f t="shared" si="34"/>
        <v>-114328.14745181134</v>
      </c>
      <c r="AB36" s="79">
        <f t="shared" si="35"/>
        <v>843210.66660750005</v>
      </c>
      <c r="AC36" s="79">
        <f t="shared" si="36"/>
        <v>-172806.05611181134</v>
      </c>
    </row>
    <row r="37" spans="1:31">
      <c r="A37" s="14">
        <v>315</v>
      </c>
      <c r="B37" s="15" t="s">
        <v>13</v>
      </c>
      <c r="C37" s="138">
        <v>52231</v>
      </c>
      <c r="D37" s="102">
        <v>1.5E-3</v>
      </c>
      <c r="E37" s="152">
        <v>1.5E-3</v>
      </c>
      <c r="F37" s="97">
        <v>-0.03</v>
      </c>
      <c r="G37" s="91">
        <f t="shared" si="25"/>
        <v>-2000272.6691999999</v>
      </c>
      <c r="H37" s="74">
        <v>66675755.640000001</v>
      </c>
      <c r="I37" s="74">
        <v>25673903</v>
      </c>
      <c r="J37" s="74">
        <f t="shared" si="26"/>
        <v>43002125.309200004</v>
      </c>
      <c r="K37" s="13">
        <f t="shared" si="37"/>
        <v>31</v>
      </c>
      <c r="L37" s="32">
        <f t="shared" si="27"/>
        <v>30.279250000000001</v>
      </c>
      <c r="M37" s="74">
        <f t="shared" si="28"/>
        <v>1420184.625088138</v>
      </c>
      <c r="N37" s="68">
        <f t="shared" si="29"/>
        <v>2.129986546768348E-2</v>
      </c>
      <c r="O37" s="32">
        <v>29.1</v>
      </c>
      <c r="P37" s="13">
        <v>1522357</v>
      </c>
      <c r="Q37" s="119">
        <f t="shared" si="30"/>
        <v>-102172.37491186196</v>
      </c>
      <c r="S37" s="13">
        <v>1564911</v>
      </c>
      <c r="T37" s="13">
        <f t="shared" si="31"/>
        <v>-144726.37491186196</v>
      </c>
      <c r="W37" s="124">
        <v>0.4200275</v>
      </c>
      <c r="Y37" s="79">
        <f t="shared" si="32"/>
        <v>596516.59761420789</v>
      </c>
      <c r="Z37" s="79">
        <f t="shared" si="33"/>
        <v>639431.80481749994</v>
      </c>
      <c r="AA37" s="79">
        <f t="shared" si="34"/>
        <v>-42915.207203292099</v>
      </c>
      <c r="AB37" s="79">
        <f t="shared" si="35"/>
        <v>657305.65505249996</v>
      </c>
      <c r="AC37" s="79">
        <f t="shared" si="36"/>
        <v>-60789.057438292097</v>
      </c>
    </row>
    <row r="38" spans="1:31">
      <c r="A38" s="14">
        <v>316</v>
      </c>
      <c r="B38" s="15" t="s">
        <v>378</v>
      </c>
      <c r="C38" s="138">
        <v>52231</v>
      </c>
      <c r="D38" s="102">
        <v>1.6E-2</v>
      </c>
      <c r="E38" s="152">
        <v>1.4999999999999999E-2</v>
      </c>
      <c r="F38" s="97">
        <v>-0.04</v>
      </c>
      <c r="G38" s="91">
        <f t="shared" si="25"/>
        <v>-166238.04320000001</v>
      </c>
      <c r="H38" s="74">
        <v>4155951.08</v>
      </c>
      <c r="I38" s="74">
        <v>1440057</v>
      </c>
      <c r="J38" s="74">
        <f t="shared" si="26"/>
        <v>2882132.1232000003</v>
      </c>
      <c r="K38" s="13">
        <f t="shared" si="37"/>
        <v>31</v>
      </c>
      <c r="L38" s="32">
        <f t="shared" si="27"/>
        <v>23.312000000000001</v>
      </c>
      <c r="M38" s="74">
        <f t="shared" si="28"/>
        <v>123632.9840082361</v>
      </c>
      <c r="N38" s="88">
        <f t="shared" si="29"/>
        <v>2.9748421391003501E-2</v>
      </c>
      <c r="O38" s="32">
        <v>22.7</v>
      </c>
      <c r="P38" s="13">
        <v>132731</v>
      </c>
      <c r="Q38" s="119">
        <f t="shared" si="30"/>
        <v>-9098.0159917638957</v>
      </c>
      <c r="S38" s="13">
        <v>134348</v>
      </c>
      <c r="T38" s="13">
        <f t="shared" si="31"/>
        <v>-10715.015991763896</v>
      </c>
      <c r="W38" s="124">
        <v>0.4200275</v>
      </c>
      <c r="Y38" s="79">
        <f t="shared" si="32"/>
        <v>51929.25319051939</v>
      </c>
      <c r="Z38" s="79">
        <f t="shared" si="33"/>
        <v>55750.6701025</v>
      </c>
      <c r="AA38" s="79">
        <f t="shared" si="34"/>
        <v>-3821.4169119806097</v>
      </c>
      <c r="AB38" s="79">
        <f t="shared" si="35"/>
        <v>56429.854570000003</v>
      </c>
      <c r="AC38" s="79">
        <f t="shared" si="36"/>
        <v>-4500.6013794806095</v>
      </c>
    </row>
    <row r="39" spans="1:31">
      <c r="A39" s="14"/>
      <c r="B39" s="33" t="s">
        <v>278</v>
      </c>
      <c r="C39" s="23"/>
      <c r="D39" s="102"/>
      <c r="E39" s="152"/>
      <c r="F39" s="96">
        <v>-0.03</v>
      </c>
      <c r="G39" s="72"/>
      <c r="H39" s="75">
        <f>+SUBTOTAL(9,H33:H38)</f>
        <v>523828155.26999992</v>
      </c>
      <c r="I39" s="75">
        <f>+SUBTOTAL(9,I33:I38)</f>
        <v>168737284</v>
      </c>
      <c r="J39" s="75">
        <f>+SUBTOTAL(9,J33:J38)</f>
        <v>371471698.55709994</v>
      </c>
      <c r="K39" s="13"/>
      <c r="L39" s="13"/>
      <c r="M39" s="75">
        <f>+SUBTOTAL(9,M33:M38)</f>
        <v>12817281.922175135</v>
      </c>
      <c r="N39" s="27">
        <f>+ROUND(M39/H39*100,2)</f>
        <v>2.4500000000000002</v>
      </c>
      <c r="O39" s="31"/>
      <c r="P39" s="103">
        <f>+SUBTOTAL(9,P33:P38)</f>
        <v>14295902</v>
      </c>
      <c r="Q39" s="120">
        <f>+SUBTOTAL(9,Q33:Q38)</f>
        <v>-1478620.0778248664</v>
      </c>
      <c r="S39" s="103">
        <f>+SUBTOTAL(9,S33:S38)</f>
        <v>15449657</v>
      </c>
      <c r="T39" s="103">
        <f>+SUBTOTAL(9,T33:T38)</f>
        <v>-2632375.0778248664</v>
      </c>
      <c r="Y39" s="75">
        <f t="shared" ref="Y39:AC39" si="38">+SUBTOTAL(9,Y33:Y38)</f>
        <v>5383610.8825664166</v>
      </c>
      <c r="Z39" s="75">
        <f t="shared" si="38"/>
        <v>6004671.9773049997</v>
      </c>
      <c r="AA39" s="75">
        <f t="shared" si="38"/>
        <v>-621061.09473858401</v>
      </c>
      <c r="AB39" s="75">
        <f t="shared" si="38"/>
        <v>6489280.8055675002</v>
      </c>
      <c r="AC39" s="75">
        <f t="shared" si="38"/>
        <v>-1105669.923001084</v>
      </c>
    </row>
    <row r="40" spans="1:31">
      <c r="A40" s="14"/>
      <c r="B40" s="15"/>
      <c r="C40" s="43"/>
      <c r="E40" s="153"/>
      <c r="F40" s="96"/>
      <c r="G40" s="72"/>
      <c r="I40" s="73"/>
      <c r="J40" s="73"/>
      <c r="K40" s="19"/>
      <c r="L40" s="19"/>
      <c r="M40" s="73"/>
      <c r="N40" s="27"/>
      <c r="O40" s="31"/>
      <c r="P40" s="19"/>
      <c r="S40" s="19"/>
      <c r="T40" s="19"/>
    </row>
    <row r="41" spans="1:31">
      <c r="A41" s="14"/>
      <c r="B41" s="22" t="s">
        <v>72</v>
      </c>
      <c r="C41" s="43"/>
      <c r="E41" s="153"/>
      <c r="F41" s="96"/>
      <c r="G41" s="72"/>
      <c r="I41" s="73"/>
      <c r="J41" s="73"/>
      <c r="K41" s="19"/>
      <c r="L41" s="19"/>
      <c r="M41" s="73"/>
      <c r="N41" s="27"/>
      <c r="O41" s="31"/>
      <c r="P41" s="19"/>
      <c r="S41" s="19"/>
      <c r="T41" s="19"/>
    </row>
    <row r="42" spans="1:31">
      <c r="A42" s="14">
        <v>311</v>
      </c>
      <c r="B42" s="15" t="s">
        <v>162</v>
      </c>
      <c r="C42" s="138">
        <v>53692</v>
      </c>
      <c r="D42" s="102">
        <v>2E-3</v>
      </c>
      <c r="E42" s="152">
        <v>2E-3</v>
      </c>
      <c r="F42" s="97">
        <v>-0.03</v>
      </c>
      <c r="G42" s="91">
        <f>H42*F42</f>
        <v>-1768900.0604999999</v>
      </c>
      <c r="H42" s="74">
        <v>58963335.350000001</v>
      </c>
      <c r="I42" s="74">
        <v>32403454</v>
      </c>
      <c r="J42" s="74">
        <f t="shared" ref="J42:J46" si="39">H42-G42-I42</f>
        <v>28328781.410500005</v>
      </c>
      <c r="K42" s="13">
        <f>2046-2011</f>
        <v>35</v>
      </c>
      <c r="L42" s="32">
        <f>(1-(D42/2)*K42)*K42</f>
        <v>33.774999999999999</v>
      </c>
      <c r="M42" s="74">
        <f>J42/L42</f>
        <v>838750.00475203572</v>
      </c>
      <c r="N42" s="68">
        <f>M42/H42</f>
        <v>1.4224941648455029E-2</v>
      </c>
      <c r="O42" s="32">
        <v>32.700000000000003</v>
      </c>
      <c r="P42" s="13">
        <v>955167</v>
      </c>
      <c r="Q42" s="119">
        <f t="shared" ref="Q42:Q46" si="40">M42-P42</f>
        <v>-116416.99524796428</v>
      </c>
      <c r="S42" s="13">
        <v>961694</v>
      </c>
      <c r="T42" s="13">
        <f t="shared" ref="T42:T46" si="41">M42-S42</f>
        <v>-122943.99524796428</v>
      </c>
      <c r="W42" s="124">
        <v>0.4200275</v>
      </c>
      <c r="Y42" s="79">
        <f t="shared" ref="Y42:Y46" si="42">M42*W42</f>
        <v>352298.06762098568</v>
      </c>
      <c r="Z42" s="79">
        <f t="shared" ref="Z42:Z46" si="43">P42*W42</f>
        <v>401196.40709250001</v>
      </c>
      <c r="AA42" s="79">
        <f t="shared" ref="AA42:AA46" si="44">Q42*W42</f>
        <v>-48898.339471514315</v>
      </c>
      <c r="AB42" s="79">
        <f t="shared" ref="AB42:AB46" si="45">S42*W42</f>
        <v>403937.92658500001</v>
      </c>
      <c r="AC42" s="79">
        <f t="shared" ref="AC42:AC46" si="46">T42*W42</f>
        <v>-51639.858964014318</v>
      </c>
    </row>
    <row r="43" spans="1:31">
      <c r="A43" s="14">
        <v>312</v>
      </c>
      <c r="B43" s="15" t="s">
        <v>11</v>
      </c>
      <c r="C43" s="138">
        <v>53692</v>
      </c>
      <c r="D43" s="102">
        <v>4.4999999999999997E-3</v>
      </c>
      <c r="E43" s="152">
        <v>4.0000000000000001E-3</v>
      </c>
      <c r="F43" s="97">
        <v>-0.03</v>
      </c>
      <c r="G43" s="91">
        <f>H43*F43</f>
        <v>-3427500.4257</v>
      </c>
      <c r="H43" s="74">
        <v>114250014.19</v>
      </c>
      <c r="I43" s="74">
        <v>62967414</v>
      </c>
      <c r="J43" s="74">
        <f t="shared" si="39"/>
        <v>54710100.615699992</v>
      </c>
      <c r="K43" s="13">
        <f t="shared" ref="K43:K46" si="47">2046-2011</f>
        <v>35</v>
      </c>
      <c r="L43" s="32">
        <f>(1-(D43/2)*K43)*K43</f>
        <v>32.243749999999999</v>
      </c>
      <c r="M43" s="74">
        <f>J43/L43</f>
        <v>1696766.0590253924</v>
      </c>
      <c r="N43" s="68">
        <f>M43/H43</f>
        <v>1.4851342216935197E-2</v>
      </c>
      <c r="O43" s="32">
        <v>27.2</v>
      </c>
      <c r="P43" s="13">
        <v>2182749</v>
      </c>
      <c r="Q43" s="119">
        <f t="shared" si="40"/>
        <v>-485982.9409746076</v>
      </c>
      <c r="S43" s="13">
        <v>2392258</v>
      </c>
      <c r="T43" s="13">
        <f t="shared" si="41"/>
        <v>-695491.9409746076</v>
      </c>
      <c r="W43" s="124">
        <v>0.4200275</v>
      </c>
      <c r="Y43" s="79">
        <f t="shared" si="42"/>
        <v>712688.40585728805</v>
      </c>
      <c r="Z43" s="79">
        <f t="shared" si="43"/>
        <v>916814.60559749999</v>
      </c>
      <c r="AA43" s="79">
        <f t="shared" si="44"/>
        <v>-204126.199740212</v>
      </c>
      <c r="AB43" s="79">
        <f t="shared" si="45"/>
        <v>1004814.147095</v>
      </c>
      <c r="AC43" s="79">
        <f t="shared" si="46"/>
        <v>-292125.74123771198</v>
      </c>
    </row>
    <row r="44" spans="1:31">
      <c r="A44" s="14">
        <v>314</v>
      </c>
      <c r="B44" s="15" t="s">
        <v>12</v>
      </c>
      <c r="C44" s="138">
        <v>53692</v>
      </c>
      <c r="D44" s="102">
        <v>6.0000000000000001E-3</v>
      </c>
      <c r="E44" s="152">
        <v>6.0000000000000001E-3</v>
      </c>
      <c r="F44" s="97">
        <v>-0.04</v>
      </c>
      <c r="G44" s="91">
        <f>H44*F44</f>
        <v>-1388231.4168</v>
      </c>
      <c r="H44" s="74">
        <v>34705785.420000002</v>
      </c>
      <c r="I44" s="74">
        <v>14945002</v>
      </c>
      <c r="J44" s="74">
        <f t="shared" si="39"/>
        <v>21149014.836800002</v>
      </c>
      <c r="K44" s="13">
        <f t="shared" si="47"/>
        <v>35</v>
      </c>
      <c r="L44" s="32">
        <f>(1-(D44/2)*K44)*K44</f>
        <v>31.324999999999999</v>
      </c>
      <c r="M44" s="74">
        <f>J44/L44</f>
        <v>675148.11929130089</v>
      </c>
      <c r="N44" s="68">
        <f>M44/H44</f>
        <v>1.9453474719584689E-2</v>
      </c>
      <c r="O44" s="32">
        <v>27.9</v>
      </c>
      <c r="P44" s="13">
        <v>819869</v>
      </c>
      <c r="Q44" s="119">
        <f t="shared" si="40"/>
        <v>-144720.88070869911</v>
      </c>
      <c r="S44" s="13">
        <v>821944</v>
      </c>
      <c r="T44" s="13">
        <f t="shared" si="41"/>
        <v>-146795.88070869911</v>
      </c>
      <c r="W44" s="124">
        <v>0.4200275</v>
      </c>
      <c r="Y44" s="79">
        <f t="shared" si="42"/>
        <v>283580.77667562687</v>
      </c>
      <c r="Z44" s="79">
        <f t="shared" si="43"/>
        <v>344367.52639750001</v>
      </c>
      <c r="AA44" s="79">
        <f t="shared" si="44"/>
        <v>-60786.749721873115</v>
      </c>
      <c r="AB44" s="79">
        <f t="shared" si="45"/>
        <v>345239.08345999999</v>
      </c>
      <c r="AC44" s="79">
        <f t="shared" si="46"/>
        <v>-61658.306784373119</v>
      </c>
    </row>
    <row r="45" spans="1:31">
      <c r="A45" s="14">
        <v>315</v>
      </c>
      <c r="B45" s="15" t="s">
        <v>13</v>
      </c>
      <c r="C45" s="138">
        <v>53692</v>
      </c>
      <c r="D45" s="102">
        <v>1.5E-3</v>
      </c>
      <c r="E45" s="152">
        <v>1.5E-3</v>
      </c>
      <c r="F45" s="97">
        <v>-0.02</v>
      </c>
      <c r="G45" s="91">
        <f>H45*F45</f>
        <v>-178993.68420000002</v>
      </c>
      <c r="H45" s="74">
        <v>8949684.2100000009</v>
      </c>
      <c r="I45" s="74">
        <v>5153507</v>
      </c>
      <c r="J45" s="74">
        <f t="shared" si="39"/>
        <v>3975170.8942000009</v>
      </c>
      <c r="K45" s="13">
        <f t="shared" si="47"/>
        <v>35</v>
      </c>
      <c r="L45" s="32">
        <f>(1-(D45/2)*K45)*K45</f>
        <v>34.081249999999997</v>
      </c>
      <c r="M45" s="74">
        <f>J45/L45</f>
        <v>116638.06034696501</v>
      </c>
      <c r="N45" s="68">
        <f>M45/H45</f>
        <v>1.3032645354864984E-2</v>
      </c>
      <c r="O45" s="32">
        <v>31.8</v>
      </c>
      <c r="P45" s="13">
        <v>136185</v>
      </c>
      <c r="Q45" s="119">
        <f t="shared" si="40"/>
        <v>-19546.939653034991</v>
      </c>
      <c r="S45" s="13">
        <v>133722</v>
      </c>
      <c r="T45" s="13">
        <f t="shared" si="41"/>
        <v>-17083.939653034991</v>
      </c>
      <c r="W45" s="124">
        <v>0.4200275</v>
      </c>
      <c r="Y45" s="79">
        <f t="shared" si="42"/>
        <v>48991.192892384846</v>
      </c>
      <c r="Z45" s="79">
        <f t="shared" si="43"/>
        <v>57201.445087499997</v>
      </c>
      <c r="AA45" s="79">
        <f t="shared" si="44"/>
        <v>-8210.2521951151557</v>
      </c>
      <c r="AB45" s="79">
        <f t="shared" si="45"/>
        <v>56166.917354999998</v>
      </c>
      <c r="AC45" s="79">
        <f t="shared" si="46"/>
        <v>-7175.7244626151551</v>
      </c>
    </row>
    <row r="46" spans="1:31">
      <c r="A46" s="14">
        <v>316</v>
      </c>
      <c r="B46" s="15" t="s">
        <v>378</v>
      </c>
      <c r="C46" s="138">
        <v>53692</v>
      </c>
      <c r="D46" s="102">
        <v>1.6E-2</v>
      </c>
      <c r="E46" s="152">
        <v>1.4999999999999999E-2</v>
      </c>
      <c r="F46" s="97">
        <v>-0.04</v>
      </c>
      <c r="G46" s="91">
        <f>H46*F46</f>
        <v>-88138.931199999992</v>
      </c>
      <c r="H46" s="74">
        <v>2203473.2799999998</v>
      </c>
      <c r="I46" s="74">
        <v>1034382</v>
      </c>
      <c r="J46" s="74">
        <f t="shared" si="39"/>
        <v>1257230.2111999998</v>
      </c>
      <c r="K46" s="13">
        <f t="shared" si="47"/>
        <v>35</v>
      </c>
      <c r="L46" s="32">
        <f>(1-(D46/2)*K46)*K46</f>
        <v>25.2</v>
      </c>
      <c r="M46" s="74">
        <f>J46/L46</f>
        <v>49890.087746031742</v>
      </c>
      <c r="N46" s="88">
        <f>M46/H46</f>
        <v>2.2641566929294348E-2</v>
      </c>
      <c r="O46" s="32">
        <v>24.1</v>
      </c>
      <c r="P46" s="13">
        <v>55838</v>
      </c>
      <c r="Q46" s="119">
        <f t="shared" si="40"/>
        <v>-5947.9122539682576</v>
      </c>
      <c r="S46" s="13">
        <v>55221</v>
      </c>
      <c r="T46" s="13">
        <f t="shared" si="41"/>
        <v>-5330.9122539682576</v>
      </c>
      <c r="W46" s="124">
        <v>0.4200275</v>
      </c>
      <c r="Y46" s="79">
        <f t="shared" si="42"/>
        <v>20955.208830746349</v>
      </c>
      <c r="Z46" s="79">
        <f t="shared" si="43"/>
        <v>23453.495545000002</v>
      </c>
      <c r="AA46" s="79">
        <f t="shared" si="44"/>
        <v>-2498.2867142536525</v>
      </c>
      <c r="AB46" s="79">
        <f t="shared" si="45"/>
        <v>23194.338577499999</v>
      </c>
      <c r="AC46" s="79">
        <f t="shared" si="46"/>
        <v>-2239.1297467536524</v>
      </c>
    </row>
    <row r="47" spans="1:31">
      <c r="A47" s="14"/>
      <c r="B47" s="33" t="s">
        <v>277</v>
      </c>
      <c r="C47" s="23"/>
      <c r="D47" s="102"/>
      <c r="E47" s="152"/>
      <c r="F47" s="96"/>
      <c r="G47" s="72"/>
      <c r="H47" s="75">
        <f>+SUBTOTAL(9,H41:H46)</f>
        <v>219072292.44999999</v>
      </c>
      <c r="I47" s="75">
        <f>+SUBTOTAL(9,I41:I46)</f>
        <v>116503759</v>
      </c>
      <c r="J47" s="75">
        <f>+SUBTOTAL(9,J41:J46)</f>
        <v>109420297.9684</v>
      </c>
      <c r="K47" s="13"/>
      <c r="L47" s="13"/>
      <c r="M47" s="75">
        <f>+SUBTOTAL(9,M41:M46)</f>
        <v>3377192.3311617258</v>
      </c>
      <c r="N47" s="27">
        <f>+ROUND(M47/H47*100,2)</f>
        <v>1.54</v>
      </c>
      <c r="O47" s="31"/>
      <c r="P47" s="103">
        <f>+SUBTOTAL(9,P41:P46)</f>
        <v>4149808</v>
      </c>
      <c r="Q47" s="120">
        <f>+SUBTOTAL(9,Q41:Q46)</f>
        <v>-772615.66883827432</v>
      </c>
      <c r="S47" s="103">
        <f>+SUBTOTAL(9,S41:S46)</f>
        <v>4364839</v>
      </c>
      <c r="T47" s="103">
        <f>+SUBTOTAL(9,T41:T46)</f>
        <v>-987646.66883827432</v>
      </c>
      <c r="Y47" s="75">
        <f t="shared" ref="Y47:AC47" si="48">+SUBTOTAL(9,Y41:Y46)</f>
        <v>1418513.6518770319</v>
      </c>
      <c r="Z47" s="75">
        <f t="shared" si="48"/>
        <v>1743033.4797199999</v>
      </c>
      <c r="AA47" s="75">
        <f t="shared" si="48"/>
        <v>-324519.82784296823</v>
      </c>
      <c r="AB47" s="75">
        <f t="shared" si="48"/>
        <v>1833352.4130724999</v>
      </c>
      <c r="AC47" s="75">
        <f t="shared" si="48"/>
        <v>-414838.76119546825</v>
      </c>
    </row>
    <row r="48" spans="1:31">
      <c r="A48" s="14"/>
      <c r="B48" s="15"/>
      <c r="C48" s="43"/>
      <c r="E48" s="153"/>
      <c r="F48" s="96"/>
      <c r="G48" s="72"/>
      <c r="I48" s="73"/>
      <c r="J48" s="73"/>
      <c r="K48" s="19"/>
      <c r="L48" s="19"/>
      <c r="M48" s="73"/>
      <c r="N48" s="27"/>
      <c r="O48" s="31"/>
      <c r="P48" s="19"/>
      <c r="S48" s="19"/>
      <c r="T48" s="19"/>
    </row>
    <row r="49" spans="1:29">
      <c r="A49" s="14"/>
      <c r="B49" s="22" t="s">
        <v>73</v>
      </c>
      <c r="C49" s="43"/>
      <c r="E49" s="153"/>
      <c r="F49" s="96"/>
      <c r="G49" s="72"/>
      <c r="I49" s="73"/>
      <c r="J49" s="73"/>
      <c r="K49" s="19"/>
      <c r="L49" s="19"/>
      <c r="M49" s="73"/>
      <c r="N49" s="27"/>
      <c r="O49" s="31"/>
      <c r="P49" s="19"/>
      <c r="S49" s="19"/>
      <c r="T49" s="19"/>
    </row>
    <row r="50" spans="1:29">
      <c r="A50" s="14">
        <v>311</v>
      </c>
      <c r="B50" s="15" t="s">
        <v>162</v>
      </c>
      <c r="C50" s="138">
        <v>49309</v>
      </c>
      <c r="D50" s="102">
        <v>2E-3</v>
      </c>
      <c r="E50" s="152">
        <v>2E-3</v>
      </c>
      <c r="F50" s="97">
        <v>-0.04</v>
      </c>
      <c r="G50" s="91">
        <f>H50*F50</f>
        <v>-1469479.7416000001</v>
      </c>
      <c r="H50" s="74">
        <v>36736993.539999999</v>
      </c>
      <c r="I50" s="74">
        <v>21837142</v>
      </c>
      <c r="J50" s="74">
        <f t="shared" ref="J50:J54" si="49">H50-G50-I50</f>
        <v>16369331.281599998</v>
      </c>
      <c r="K50" s="13">
        <f>2034-2011</f>
        <v>23</v>
      </c>
      <c r="L50" s="32">
        <f>(1-(D50/2)*K50)*K50</f>
        <v>22.471</v>
      </c>
      <c r="M50" s="74">
        <f>J50/L50</f>
        <v>728464.74485336652</v>
      </c>
      <c r="N50" s="68">
        <f>M50/H50</f>
        <v>1.9829187820179107E-2</v>
      </c>
      <c r="O50" s="32">
        <v>22</v>
      </c>
      <c r="P50" s="13">
        <v>793747</v>
      </c>
      <c r="Q50" s="119">
        <f t="shared" ref="Q50:Q54" si="50">M50-P50</f>
        <v>-65282.255146633484</v>
      </c>
      <c r="S50" s="13">
        <v>796185</v>
      </c>
      <c r="T50" s="13">
        <f t="shared" ref="T50:T54" si="51">M50-S50</f>
        <v>-67720.255146633484</v>
      </c>
      <c r="W50" s="124">
        <v>0.4200275</v>
      </c>
      <c r="Y50" s="79">
        <f t="shared" ref="Y50:Y54" si="52">M50*W50</f>
        <v>305975.22561889741</v>
      </c>
      <c r="Z50" s="79">
        <f t="shared" ref="Z50:Z54" si="53">P50*W50</f>
        <v>333395.5680425</v>
      </c>
      <c r="AA50" s="79">
        <f t="shared" ref="AA50:AA54" si="54">Q50*W50</f>
        <v>-27420.342423602597</v>
      </c>
      <c r="AB50" s="79">
        <f t="shared" ref="AB50:AB54" si="55">S50*W50</f>
        <v>334419.5950875</v>
      </c>
      <c r="AC50" s="79">
        <f t="shared" ref="AC50:AC54" si="56">T50*W50</f>
        <v>-28444.369468602596</v>
      </c>
    </row>
    <row r="51" spans="1:29">
      <c r="A51" s="14">
        <v>312</v>
      </c>
      <c r="B51" s="15" t="s">
        <v>11</v>
      </c>
      <c r="C51" s="138">
        <v>49309</v>
      </c>
      <c r="D51" s="102">
        <v>4.4999999999999997E-3</v>
      </c>
      <c r="E51" s="152">
        <v>4.0000000000000001E-3</v>
      </c>
      <c r="F51" s="97">
        <v>-0.03</v>
      </c>
      <c r="G51" s="91">
        <f>H51*F51</f>
        <v>-2795356.7783999997</v>
      </c>
      <c r="H51" s="74">
        <v>93178559.280000001</v>
      </c>
      <c r="I51" s="74">
        <v>45033353</v>
      </c>
      <c r="J51" s="74">
        <f t="shared" si="49"/>
        <v>50940563.058400005</v>
      </c>
      <c r="K51" s="13">
        <f t="shared" ref="K51:K54" si="57">2034-2011</f>
        <v>23</v>
      </c>
      <c r="L51" s="32">
        <f>(1-(D51/2)*K51)*K51</f>
        <v>21.809750000000001</v>
      </c>
      <c r="M51" s="74">
        <f>J51/L51</f>
        <v>2335678.4492440308</v>
      </c>
      <c r="N51" s="68">
        <f>M51/H51</f>
        <v>2.5066694176128612E-2</v>
      </c>
      <c r="O51" s="32">
        <v>20.2</v>
      </c>
      <c r="P51" s="13">
        <v>2664117</v>
      </c>
      <c r="Q51" s="119">
        <f t="shared" si="50"/>
        <v>-328438.55075596925</v>
      </c>
      <c r="S51" s="13">
        <v>3227313</v>
      </c>
      <c r="T51" s="13">
        <f t="shared" si="51"/>
        <v>-891634.55075596925</v>
      </c>
      <c r="W51" s="124">
        <v>0.4200275</v>
      </c>
      <c r="Y51" s="79">
        <f t="shared" si="52"/>
        <v>981049.17983984714</v>
      </c>
      <c r="Z51" s="79">
        <f t="shared" si="53"/>
        <v>1119002.4032175001</v>
      </c>
      <c r="AA51" s="79">
        <f t="shared" si="54"/>
        <v>-137953.22337765287</v>
      </c>
      <c r="AB51" s="79">
        <f t="shared" si="55"/>
        <v>1355560.2111074999</v>
      </c>
      <c r="AC51" s="79">
        <f t="shared" si="56"/>
        <v>-374511.03126765287</v>
      </c>
    </row>
    <row r="52" spans="1:29">
      <c r="A52" s="14">
        <v>314</v>
      </c>
      <c r="B52" s="15" t="s">
        <v>12</v>
      </c>
      <c r="C52" s="138">
        <v>49309</v>
      </c>
      <c r="D52" s="102">
        <v>6.0000000000000001E-3</v>
      </c>
      <c r="E52" s="152">
        <v>6.0000000000000001E-3</v>
      </c>
      <c r="F52" s="97">
        <v>-0.04</v>
      </c>
      <c r="G52" s="91">
        <f>H52*F52</f>
        <v>-1053821.4131999998</v>
      </c>
      <c r="H52" s="74">
        <v>26345535.329999998</v>
      </c>
      <c r="I52" s="74">
        <v>10376414</v>
      </c>
      <c r="J52" s="74">
        <f t="shared" si="49"/>
        <v>17022942.743199997</v>
      </c>
      <c r="K52" s="13">
        <f t="shared" si="57"/>
        <v>23</v>
      </c>
      <c r="L52" s="32">
        <f>(1-(D52/2)*K52)*K52</f>
        <v>21.413</v>
      </c>
      <c r="M52" s="74">
        <f>J52/L52</f>
        <v>794981.68137112947</v>
      </c>
      <c r="N52" s="68">
        <f>M52/H52</f>
        <v>3.017519558488051E-2</v>
      </c>
      <c r="O52" s="32">
        <v>20.399999999999999</v>
      </c>
      <c r="P52" s="13">
        <v>887035</v>
      </c>
      <c r="Q52" s="119">
        <f t="shared" si="50"/>
        <v>-92053.318628870533</v>
      </c>
      <c r="S52" s="13">
        <v>964295</v>
      </c>
      <c r="T52" s="13">
        <f t="shared" si="51"/>
        <v>-169313.31862887053</v>
      </c>
      <c r="W52" s="124">
        <v>0.4200275</v>
      </c>
      <c r="Y52" s="79">
        <f t="shared" si="52"/>
        <v>333914.16817211208</v>
      </c>
      <c r="Z52" s="79">
        <f t="shared" si="53"/>
        <v>372579.09346250002</v>
      </c>
      <c r="AA52" s="79">
        <f t="shared" si="54"/>
        <v>-38664.925290387917</v>
      </c>
      <c r="AB52" s="79">
        <f t="shared" si="55"/>
        <v>405030.41811249999</v>
      </c>
      <c r="AC52" s="79">
        <f t="shared" si="56"/>
        <v>-71116.249940387919</v>
      </c>
    </row>
    <row r="53" spans="1:29">
      <c r="A53" s="14">
        <v>315</v>
      </c>
      <c r="B53" s="15" t="s">
        <v>13</v>
      </c>
      <c r="C53" s="138">
        <v>49309</v>
      </c>
      <c r="D53" s="102">
        <v>1.5E-3</v>
      </c>
      <c r="E53" s="152">
        <v>1.5E-3</v>
      </c>
      <c r="F53" s="97">
        <v>-0.03</v>
      </c>
      <c r="G53" s="91">
        <f>H53*F53</f>
        <v>-506300.63099999994</v>
      </c>
      <c r="H53" s="74">
        <v>16876687.699999999</v>
      </c>
      <c r="I53" s="74">
        <v>10257023</v>
      </c>
      <c r="J53" s="74">
        <f t="shared" si="49"/>
        <v>7125965.3310000002</v>
      </c>
      <c r="K53" s="13">
        <f t="shared" si="57"/>
        <v>23</v>
      </c>
      <c r="L53" s="32">
        <f>(1-(D53/2)*K53)*K53</f>
        <v>22.603249999999999</v>
      </c>
      <c r="M53" s="74">
        <f>J53/L53</f>
        <v>315262.86401291849</v>
      </c>
      <c r="N53" s="68">
        <f>M53/H53</f>
        <v>1.8680375534407649E-2</v>
      </c>
      <c r="O53" s="32">
        <v>21.6</v>
      </c>
      <c r="P53" s="13">
        <v>352739</v>
      </c>
      <c r="Q53" s="119">
        <f t="shared" si="50"/>
        <v>-37476.135987081507</v>
      </c>
      <c r="S53" s="13">
        <v>344121</v>
      </c>
      <c r="T53" s="13">
        <f t="shared" si="51"/>
        <v>-28858.135987081507</v>
      </c>
      <c r="W53" s="124">
        <v>0.4200275</v>
      </c>
      <c r="Y53" s="79">
        <f t="shared" si="52"/>
        <v>132419.07261418612</v>
      </c>
      <c r="Z53" s="79">
        <f t="shared" si="53"/>
        <v>148160.0803225</v>
      </c>
      <c r="AA53" s="79">
        <f t="shared" si="54"/>
        <v>-15741.007708313877</v>
      </c>
      <c r="AB53" s="79">
        <f t="shared" si="55"/>
        <v>144540.28332749999</v>
      </c>
      <c r="AC53" s="79">
        <f t="shared" si="56"/>
        <v>-12121.210713313878</v>
      </c>
    </row>
    <row r="54" spans="1:29">
      <c r="A54" s="14">
        <v>316</v>
      </c>
      <c r="B54" s="15" t="s">
        <v>378</v>
      </c>
      <c r="C54" s="138">
        <v>49309</v>
      </c>
      <c r="D54" s="102">
        <v>1.6E-2</v>
      </c>
      <c r="E54" s="152">
        <v>1.4999999999999999E-2</v>
      </c>
      <c r="F54" s="97">
        <v>-0.04</v>
      </c>
      <c r="G54" s="91">
        <f>H54*F54</f>
        <v>-68575.854400000011</v>
      </c>
      <c r="H54" s="74">
        <v>1714396.36</v>
      </c>
      <c r="I54" s="74">
        <v>896624</v>
      </c>
      <c r="J54" s="74">
        <f t="shared" si="49"/>
        <v>886348.21440000017</v>
      </c>
      <c r="K54" s="13">
        <f t="shared" si="57"/>
        <v>23</v>
      </c>
      <c r="L54" s="32">
        <f>(1-(D54/2)*K54)*K54</f>
        <v>18.768000000000001</v>
      </c>
      <c r="M54" s="74">
        <f>J54/L54</f>
        <v>47226.567263427118</v>
      </c>
      <c r="N54" s="88">
        <f>M54/H54</f>
        <v>2.7547052925046524E-2</v>
      </c>
      <c r="O54" s="32">
        <v>17.8</v>
      </c>
      <c r="P54" s="13">
        <v>52652</v>
      </c>
      <c r="Q54" s="119">
        <f t="shared" si="50"/>
        <v>-5425.4327365728823</v>
      </c>
      <c r="S54" s="13">
        <v>52063</v>
      </c>
      <c r="T54" s="13">
        <f t="shared" si="51"/>
        <v>-4836.4327365728823</v>
      </c>
      <c r="W54" s="124">
        <v>0.4200275</v>
      </c>
      <c r="Y54" s="79">
        <f t="shared" si="52"/>
        <v>19836.456981239135</v>
      </c>
      <c r="Z54" s="79">
        <f t="shared" si="53"/>
        <v>22115.287929999999</v>
      </c>
      <c r="AA54" s="79">
        <f t="shared" si="54"/>
        <v>-2278.8309487608662</v>
      </c>
      <c r="AB54" s="79">
        <f t="shared" si="55"/>
        <v>21867.8917325</v>
      </c>
      <c r="AC54" s="79">
        <f t="shared" si="56"/>
        <v>-2031.4347512608663</v>
      </c>
    </row>
    <row r="55" spans="1:29">
      <c r="A55" s="14"/>
      <c r="B55" s="33" t="s">
        <v>276</v>
      </c>
      <c r="C55" s="23"/>
      <c r="D55" s="102"/>
      <c r="E55" s="152"/>
      <c r="F55" s="96"/>
      <c r="G55" s="72"/>
      <c r="H55" s="75">
        <f>+SUBTOTAL(9,H49:H54)</f>
        <v>174852172.20999998</v>
      </c>
      <c r="I55" s="75">
        <f>+SUBTOTAL(9,I49:I54)</f>
        <v>88400556</v>
      </c>
      <c r="J55" s="75">
        <f>+SUBTOTAL(9,J49:J54)</f>
        <v>92345150.628600001</v>
      </c>
      <c r="K55" s="13"/>
      <c r="L55" s="13"/>
      <c r="M55" s="75">
        <f>+SUBTOTAL(9,M49:M54)</f>
        <v>4221614.3067448726</v>
      </c>
      <c r="N55" s="27">
        <f>+ROUND(M55/H55*100,2)</f>
        <v>2.41</v>
      </c>
      <c r="O55" s="31"/>
      <c r="P55" s="103">
        <f>+SUBTOTAL(9,P49:P54)</f>
        <v>4750290</v>
      </c>
      <c r="Q55" s="120">
        <f>+SUBTOTAL(9,Q49:Q54)</f>
        <v>-528675.69325512764</v>
      </c>
      <c r="S55" s="103">
        <f>+SUBTOTAL(9,S49:S54)</f>
        <v>5383977</v>
      </c>
      <c r="T55" s="103">
        <f>+SUBTOTAL(9,T49:T54)</f>
        <v>-1162362.6932551276</v>
      </c>
      <c r="Y55" s="75">
        <f t="shared" ref="Y55:AC55" si="58">+SUBTOTAL(9,Y49:Y54)</f>
        <v>1773194.1032262822</v>
      </c>
      <c r="Z55" s="75">
        <f t="shared" si="58"/>
        <v>1995252.4329750002</v>
      </c>
      <c r="AA55" s="75">
        <f t="shared" si="58"/>
        <v>-222058.32974871813</v>
      </c>
      <c r="AB55" s="75">
        <f t="shared" si="58"/>
        <v>2261418.3993674996</v>
      </c>
      <c r="AC55" s="75">
        <f t="shared" si="58"/>
        <v>-488224.2961412181</v>
      </c>
    </row>
    <row r="56" spans="1:29">
      <c r="A56" s="14"/>
      <c r="B56" s="15"/>
      <c r="C56" s="43"/>
      <c r="E56" s="153"/>
      <c r="F56" s="96"/>
      <c r="G56" s="72"/>
      <c r="I56" s="73"/>
      <c r="J56" s="73"/>
      <c r="K56" s="19"/>
      <c r="L56" s="19"/>
      <c r="M56" s="73"/>
      <c r="N56" s="27"/>
      <c r="O56" s="31"/>
      <c r="P56" s="19"/>
      <c r="S56" s="19"/>
      <c r="T56" s="19"/>
    </row>
    <row r="57" spans="1:29">
      <c r="A57" s="14"/>
      <c r="B57" s="22" t="s">
        <v>74</v>
      </c>
      <c r="C57" s="43"/>
      <c r="E57" s="153"/>
      <c r="F57" s="96"/>
      <c r="G57" s="72"/>
      <c r="I57" s="73"/>
      <c r="J57" s="73"/>
      <c r="K57" s="19"/>
      <c r="L57" s="19"/>
      <c r="M57" s="73"/>
      <c r="N57" s="27"/>
      <c r="O57" s="31"/>
      <c r="P57" s="19"/>
      <c r="S57" s="19"/>
      <c r="T57" s="19"/>
    </row>
    <row r="58" spans="1:29">
      <c r="A58" s="14">
        <v>310.2</v>
      </c>
      <c r="B58" s="15" t="s">
        <v>10</v>
      </c>
      <c r="C58" s="138">
        <v>46752</v>
      </c>
      <c r="D58" s="102"/>
      <c r="E58" s="152"/>
      <c r="F58" s="97">
        <v>0</v>
      </c>
      <c r="G58" s="91">
        <f t="shared" ref="G58:G63" si="59">H58*F58</f>
        <v>0</v>
      </c>
      <c r="H58" s="74">
        <v>99970.26</v>
      </c>
      <c r="I58" s="74">
        <v>63605</v>
      </c>
      <c r="J58" s="74">
        <f t="shared" ref="J58:J63" si="60">H58-G58-I58</f>
        <v>36365.259999999995</v>
      </c>
      <c r="K58" s="13">
        <f>2027-2011</f>
        <v>16</v>
      </c>
      <c r="L58" s="32">
        <f t="shared" ref="L58:L63" si="61">(1-(D58/2)*K58)*K58</f>
        <v>16</v>
      </c>
      <c r="M58" s="74">
        <f t="shared" ref="M58:M63" si="62">J58/L58</f>
        <v>2272.8287499999997</v>
      </c>
      <c r="N58" s="68">
        <f t="shared" ref="N58:N63" si="63">M58/H58</f>
        <v>2.2735048903543911E-2</v>
      </c>
      <c r="O58" s="32">
        <v>16</v>
      </c>
      <c r="P58" s="13">
        <v>2273</v>
      </c>
      <c r="Q58" s="119">
        <f t="shared" ref="Q58:Q63" si="64">M58-P58</f>
        <v>-0.17125000000032742</v>
      </c>
      <c r="S58" s="13">
        <v>2345</v>
      </c>
      <c r="T58" s="13">
        <f t="shared" ref="T58:T63" si="65">M58-S58</f>
        <v>-72.171250000000327</v>
      </c>
      <c r="W58" s="124">
        <v>0.4200275</v>
      </c>
      <c r="Y58" s="79">
        <f t="shared" ref="Y58:Y63" si="66">M58*W58</f>
        <v>954.65057779062488</v>
      </c>
      <c r="Z58" s="79">
        <f t="shared" ref="Z58:Z63" si="67">P58*W58</f>
        <v>954.72250750000001</v>
      </c>
      <c r="AA58" s="79">
        <f t="shared" ref="AA58:AA63" si="68">Q58*W58</f>
        <v>-7.1929709375137527E-2</v>
      </c>
      <c r="AB58" s="79">
        <f t="shared" ref="AB58:AB63" si="69">S58*W58</f>
        <v>984.96448750000002</v>
      </c>
      <c r="AC58" s="79">
        <f t="shared" ref="AC58:AC63" si="70">T58*W58</f>
        <v>-30.313909709375139</v>
      </c>
    </row>
    <row r="59" spans="1:29">
      <c r="A59" s="14">
        <v>311</v>
      </c>
      <c r="B59" s="15" t="s">
        <v>162</v>
      </c>
      <c r="C59" s="138">
        <v>46752</v>
      </c>
      <c r="D59" s="102">
        <v>2E-3</v>
      </c>
      <c r="E59" s="152">
        <v>2E-3</v>
      </c>
      <c r="F59" s="97">
        <v>-0.03</v>
      </c>
      <c r="G59" s="91">
        <f t="shared" si="59"/>
        <v>-4157789.0417999998</v>
      </c>
      <c r="H59" s="74">
        <v>138592968.06</v>
      </c>
      <c r="I59" s="74">
        <v>33274404</v>
      </c>
      <c r="J59" s="74">
        <f t="shared" si="60"/>
        <v>109476353.10179999</v>
      </c>
      <c r="K59" s="13">
        <f t="shared" ref="K59:K63" si="71">2027-2011</f>
        <v>16</v>
      </c>
      <c r="L59" s="32">
        <f t="shared" si="61"/>
        <v>15.744</v>
      </c>
      <c r="M59" s="74">
        <f t="shared" si="62"/>
        <v>6953528.5252667684</v>
      </c>
      <c r="N59" s="68">
        <f t="shared" si="63"/>
        <v>5.0172303996379022E-2</v>
      </c>
      <c r="O59" s="32">
        <v>15.8</v>
      </c>
      <c r="P59" s="13">
        <v>7112051</v>
      </c>
      <c r="Q59" s="119">
        <f t="shared" si="64"/>
        <v>-158522.47473323159</v>
      </c>
      <c r="S59" s="13">
        <v>8423695</v>
      </c>
      <c r="T59" s="13">
        <f t="shared" si="65"/>
        <v>-1470166.4747332316</v>
      </c>
      <c r="W59" s="124">
        <v>0.4200275</v>
      </c>
      <c r="Y59" s="79">
        <f t="shared" si="66"/>
        <v>2920673.2026464874</v>
      </c>
      <c r="Z59" s="79">
        <f t="shared" si="67"/>
        <v>2987257.0014025001</v>
      </c>
      <c r="AA59" s="79">
        <f t="shared" si="68"/>
        <v>-66583.798756012431</v>
      </c>
      <c r="AB59" s="79">
        <f t="shared" si="69"/>
        <v>3538183.5516125001</v>
      </c>
      <c r="AC59" s="79">
        <f t="shared" si="70"/>
        <v>-617510.34896601248</v>
      </c>
    </row>
    <row r="60" spans="1:29">
      <c r="A60" s="14">
        <v>312</v>
      </c>
      <c r="B60" s="15" t="s">
        <v>11</v>
      </c>
      <c r="C60" s="138">
        <v>46752</v>
      </c>
      <c r="D60" s="102">
        <v>4.4999999999999997E-3</v>
      </c>
      <c r="E60" s="152">
        <v>4.0000000000000001E-3</v>
      </c>
      <c r="F60" s="97">
        <v>-0.03</v>
      </c>
      <c r="G60" s="91">
        <f t="shared" si="59"/>
        <v>-17256403.446600001</v>
      </c>
      <c r="H60" s="74">
        <v>575213448.22000003</v>
      </c>
      <c r="I60" s="74">
        <v>153351223</v>
      </c>
      <c r="J60" s="74">
        <f t="shared" si="60"/>
        <v>439118628.66659999</v>
      </c>
      <c r="K60" s="13">
        <f t="shared" si="71"/>
        <v>16</v>
      </c>
      <c r="L60" s="32">
        <f t="shared" si="61"/>
        <v>15.423999999999999</v>
      </c>
      <c r="M60" s="74">
        <f t="shared" si="62"/>
        <v>28469828.103384335</v>
      </c>
      <c r="N60" s="68">
        <f t="shared" si="63"/>
        <v>4.9494371509366329E-2</v>
      </c>
      <c r="O60" s="32">
        <v>15.3</v>
      </c>
      <c r="P60" s="13">
        <v>29372926</v>
      </c>
      <c r="Q60" s="119">
        <f t="shared" si="64"/>
        <v>-903097.89661566541</v>
      </c>
      <c r="S60" s="13">
        <v>39361986</v>
      </c>
      <c r="T60" s="13">
        <f t="shared" si="65"/>
        <v>-10892157.896615665</v>
      </c>
      <c r="W60" s="124">
        <v>0.4200275</v>
      </c>
      <c r="Y60" s="79">
        <f t="shared" si="66"/>
        <v>11958110.723694263</v>
      </c>
      <c r="Z60" s="79">
        <f t="shared" si="67"/>
        <v>12337436.675465001</v>
      </c>
      <c r="AA60" s="79">
        <f t="shared" si="68"/>
        <v>-379325.95177073643</v>
      </c>
      <c r="AB60" s="79">
        <f t="shared" si="69"/>
        <v>16533116.574615</v>
      </c>
      <c r="AC60" s="79">
        <f t="shared" si="70"/>
        <v>-4575005.8509207368</v>
      </c>
    </row>
    <row r="61" spans="1:29">
      <c r="A61" s="14">
        <v>314</v>
      </c>
      <c r="B61" s="15" t="s">
        <v>12</v>
      </c>
      <c r="C61" s="138">
        <v>46752</v>
      </c>
      <c r="D61" s="102">
        <v>6.0000000000000001E-3</v>
      </c>
      <c r="E61" s="152">
        <v>6.0000000000000001E-3</v>
      </c>
      <c r="F61" s="97">
        <v>-0.03</v>
      </c>
      <c r="G61" s="91">
        <f t="shared" si="59"/>
        <v>-2759044.8492000001</v>
      </c>
      <c r="H61" s="74">
        <v>91968161.640000001</v>
      </c>
      <c r="I61" s="74">
        <v>36805513</v>
      </c>
      <c r="J61" s="74">
        <f t="shared" si="60"/>
        <v>57921693.489199996</v>
      </c>
      <c r="K61" s="13">
        <f t="shared" si="71"/>
        <v>16</v>
      </c>
      <c r="L61" s="32">
        <f t="shared" si="61"/>
        <v>15.231999999999999</v>
      </c>
      <c r="M61" s="74">
        <f t="shared" si="62"/>
        <v>3802632.1881039916</v>
      </c>
      <c r="N61" s="68">
        <f t="shared" si="63"/>
        <v>4.1347267579284752E-2</v>
      </c>
      <c r="O61" s="32">
        <v>14.9</v>
      </c>
      <c r="P61" s="13">
        <v>4085272</v>
      </c>
      <c r="Q61" s="119">
        <f t="shared" si="64"/>
        <v>-282639.81189600844</v>
      </c>
      <c r="S61" s="13">
        <v>4778903</v>
      </c>
      <c r="T61" s="13">
        <f t="shared" si="65"/>
        <v>-976270.81189600844</v>
      </c>
      <c r="W61" s="124">
        <v>0.4200275</v>
      </c>
      <c r="Y61" s="79">
        <f t="shared" si="66"/>
        <v>1597210.0913888493</v>
      </c>
      <c r="Z61" s="79">
        <f t="shared" si="67"/>
        <v>1715926.58498</v>
      </c>
      <c r="AA61" s="79">
        <f t="shared" si="68"/>
        <v>-118716.49359115069</v>
      </c>
      <c r="AB61" s="79">
        <f t="shared" si="69"/>
        <v>2007270.6798324999</v>
      </c>
      <c r="AC61" s="79">
        <f t="shared" si="70"/>
        <v>-410060.58844365069</v>
      </c>
    </row>
    <row r="62" spans="1:29">
      <c r="A62" s="14">
        <v>315</v>
      </c>
      <c r="B62" s="15" t="s">
        <v>13</v>
      </c>
      <c r="C62" s="138">
        <v>46752</v>
      </c>
      <c r="D62" s="102">
        <v>1.5E-3</v>
      </c>
      <c r="E62" s="152">
        <v>1.5E-3</v>
      </c>
      <c r="F62" s="97">
        <v>-0.03</v>
      </c>
      <c r="G62" s="91">
        <f t="shared" si="59"/>
        <v>-1591421.2836</v>
      </c>
      <c r="H62" s="74">
        <v>53047376.119999997</v>
      </c>
      <c r="I62" s="74">
        <v>12322395</v>
      </c>
      <c r="J62" s="74">
        <f t="shared" si="60"/>
        <v>42316402.4036</v>
      </c>
      <c r="K62" s="13">
        <f t="shared" si="71"/>
        <v>16</v>
      </c>
      <c r="L62" s="32">
        <f t="shared" si="61"/>
        <v>15.808</v>
      </c>
      <c r="M62" s="74">
        <f t="shared" si="62"/>
        <v>2676897.9253289476</v>
      </c>
      <c r="N62" s="68">
        <f t="shared" si="63"/>
        <v>5.0462400237732019E-2</v>
      </c>
      <c r="O62" s="32">
        <v>15.8</v>
      </c>
      <c r="P62" s="13">
        <v>2717085</v>
      </c>
      <c r="Q62" s="119">
        <f t="shared" si="64"/>
        <v>-40187.074671052396</v>
      </c>
      <c r="S62" s="13">
        <v>3462617</v>
      </c>
      <c r="T62" s="13">
        <f t="shared" si="65"/>
        <v>-785719.0746710524</v>
      </c>
      <c r="W62" s="124">
        <v>0.4200275</v>
      </c>
      <c r="Y62" s="79">
        <f t="shared" si="66"/>
        <v>1124370.7433311045</v>
      </c>
      <c r="Z62" s="79">
        <f t="shared" si="67"/>
        <v>1141250.4198375</v>
      </c>
      <c r="AA62" s="79">
        <f t="shared" si="68"/>
        <v>-16879.676506395459</v>
      </c>
      <c r="AB62" s="79">
        <f t="shared" si="69"/>
        <v>1454394.3619675001</v>
      </c>
      <c r="AC62" s="79">
        <f t="shared" si="70"/>
        <v>-330023.61863639543</v>
      </c>
    </row>
    <row r="63" spans="1:29">
      <c r="A63" s="14">
        <v>316</v>
      </c>
      <c r="B63" s="15" t="s">
        <v>378</v>
      </c>
      <c r="C63" s="138">
        <v>46752</v>
      </c>
      <c r="D63" s="102">
        <v>1.6E-2</v>
      </c>
      <c r="E63" s="152">
        <v>1.4999999999999999E-2</v>
      </c>
      <c r="F63" s="97">
        <v>-0.04</v>
      </c>
      <c r="G63" s="91">
        <f t="shared" si="59"/>
        <v>-338304.69439999998</v>
      </c>
      <c r="H63" s="74">
        <v>8457617.3599999994</v>
      </c>
      <c r="I63" s="74">
        <v>1742727</v>
      </c>
      <c r="J63" s="74">
        <f t="shared" si="60"/>
        <v>7053195.0543999989</v>
      </c>
      <c r="K63" s="13">
        <f t="shared" si="71"/>
        <v>16</v>
      </c>
      <c r="L63" s="32">
        <f t="shared" si="61"/>
        <v>13.952</v>
      </c>
      <c r="M63" s="74">
        <f t="shared" si="62"/>
        <v>505532.90240825678</v>
      </c>
      <c r="N63" s="88">
        <f t="shared" si="63"/>
        <v>5.9772496306011273E-2</v>
      </c>
      <c r="O63" s="32">
        <v>14.3</v>
      </c>
      <c r="P63" s="13">
        <v>500286</v>
      </c>
      <c r="Q63" s="119">
        <f t="shared" si="64"/>
        <v>5246.9024082567776</v>
      </c>
      <c r="S63" s="13">
        <v>513652</v>
      </c>
      <c r="T63" s="13">
        <f t="shared" si="65"/>
        <v>-8119.0975917432224</v>
      </c>
      <c r="W63" s="124">
        <v>0.4200275</v>
      </c>
      <c r="Y63" s="79">
        <f t="shared" si="66"/>
        <v>212337.72116628409</v>
      </c>
      <c r="Z63" s="79">
        <f t="shared" si="67"/>
        <v>210133.87786499999</v>
      </c>
      <c r="AA63" s="79">
        <f t="shared" si="68"/>
        <v>2203.8433012840737</v>
      </c>
      <c r="AB63" s="79">
        <f t="shared" si="69"/>
        <v>215747.96543000001</v>
      </c>
      <c r="AC63" s="79">
        <f t="shared" si="70"/>
        <v>-3410.2442637159265</v>
      </c>
    </row>
    <row r="64" spans="1:29">
      <c r="A64" s="14"/>
      <c r="B64" s="33" t="s">
        <v>275</v>
      </c>
      <c r="C64" s="23"/>
      <c r="D64" s="102"/>
      <c r="E64" s="152"/>
      <c r="F64" s="96"/>
      <c r="G64" s="72"/>
      <c r="H64" s="75">
        <f>+SUBTOTAL(9,H58:H63)</f>
        <v>867379541.65999997</v>
      </c>
      <c r="I64" s="75">
        <f>+SUBTOTAL(9,I58:I63)</f>
        <v>237559867</v>
      </c>
      <c r="J64" s="75">
        <f>+SUBTOTAL(9,J58:J63)</f>
        <v>655922637.97559988</v>
      </c>
      <c r="K64" s="13"/>
      <c r="L64" s="13"/>
      <c r="M64" s="75">
        <f>+SUBTOTAL(9,M58:M63)</f>
        <v>42410692.473242298</v>
      </c>
      <c r="N64" s="27">
        <f>+ROUND(M64/H64*100,2)</f>
        <v>4.8899999999999997</v>
      </c>
      <c r="O64" s="31"/>
      <c r="P64" s="103">
        <f>+SUBTOTAL(9,P58:P63)</f>
        <v>43789893</v>
      </c>
      <c r="Q64" s="120">
        <f>+SUBTOTAL(9,Q58:Q63)</f>
        <v>-1379200.5267577013</v>
      </c>
      <c r="S64" s="103">
        <f>+SUBTOTAL(9,S58:S63)</f>
        <v>56543198</v>
      </c>
      <c r="T64" s="103">
        <f>+SUBTOTAL(9,T58:T63)</f>
        <v>-14132505.526757702</v>
      </c>
      <c r="Y64" s="75">
        <f t="shared" ref="Y64:AC64" si="72">+SUBTOTAL(9,Y58:Y63)</f>
        <v>17813657.132804777</v>
      </c>
      <c r="Z64" s="75">
        <f t="shared" si="72"/>
        <v>18392959.282057505</v>
      </c>
      <c r="AA64" s="75">
        <f t="shared" si="72"/>
        <v>-579302.14925272029</v>
      </c>
      <c r="AB64" s="75">
        <f t="shared" si="72"/>
        <v>23749698.097944997</v>
      </c>
      <c r="AC64" s="75">
        <f t="shared" si="72"/>
        <v>-5936040.9651402216</v>
      </c>
    </row>
    <row r="65" spans="1:29">
      <c r="A65" s="14"/>
      <c r="B65" s="15"/>
      <c r="C65" s="43"/>
      <c r="E65" s="153"/>
      <c r="F65" s="96"/>
      <c r="G65" s="72"/>
      <c r="I65" s="73"/>
      <c r="J65" s="73"/>
      <c r="K65" s="19"/>
      <c r="L65" s="19"/>
      <c r="M65" s="73"/>
      <c r="N65" s="27"/>
      <c r="O65" s="31"/>
      <c r="P65" s="19"/>
      <c r="S65" s="19"/>
      <c r="T65" s="19"/>
    </row>
    <row r="66" spans="1:29">
      <c r="A66" s="14"/>
      <c r="B66" s="22" t="s">
        <v>75</v>
      </c>
      <c r="C66" s="43"/>
      <c r="E66" s="153"/>
      <c r="F66" s="96"/>
      <c r="G66" s="72"/>
      <c r="I66" s="73"/>
      <c r="J66" s="73"/>
      <c r="K66" s="19"/>
      <c r="L66" s="19"/>
      <c r="M66" s="73"/>
      <c r="N66" s="27"/>
      <c r="O66" s="31"/>
      <c r="P66" s="19"/>
      <c r="S66" s="19"/>
      <c r="T66" s="19"/>
    </row>
    <row r="67" spans="1:29">
      <c r="A67" s="14">
        <v>311</v>
      </c>
      <c r="B67" s="15" t="s">
        <v>162</v>
      </c>
      <c r="C67" s="138">
        <v>44926</v>
      </c>
      <c r="D67" s="102">
        <v>2E-3</v>
      </c>
      <c r="E67" s="152">
        <v>2E-3</v>
      </c>
      <c r="F67" s="97">
        <v>-0.09</v>
      </c>
      <c r="G67" s="91">
        <f t="shared" ref="G67:G71" si="73">H67*F67</f>
        <v>-1374166.3572</v>
      </c>
      <c r="H67" s="74">
        <v>15268515.08</v>
      </c>
      <c r="I67" s="74">
        <v>15723548</v>
      </c>
      <c r="J67" s="74">
        <f t="shared" ref="J67:J71" si="74">H67-G67-I67</f>
        <v>919133.43720000051</v>
      </c>
      <c r="K67" s="13">
        <f>2022-2011</f>
        <v>11</v>
      </c>
      <c r="L67" s="32">
        <f>(1-(D67/2)*K67)*K67</f>
        <v>10.879</v>
      </c>
      <c r="M67" s="74">
        <f>J67/L67</f>
        <v>84486.941557128463</v>
      </c>
      <c r="N67" s="68">
        <f>M67/H67</f>
        <v>5.5334091831756868E-3</v>
      </c>
      <c r="O67" s="32">
        <v>10.9</v>
      </c>
      <c r="P67" s="13">
        <v>154306</v>
      </c>
      <c r="Q67" s="119">
        <f t="shared" ref="Q67:Q71" si="75">M67-P67</f>
        <v>-69819.058442871537</v>
      </c>
      <c r="S67" s="13">
        <v>129988</v>
      </c>
      <c r="T67" s="13">
        <f t="shared" ref="T67:T71" si="76">M67-S67</f>
        <v>-45501.058442871537</v>
      </c>
      <c r="W67" s="124">
        <v>0.4200275</v>
      </c>
      <c r="Y67" s="79">
        <f t="shared" ref="Y67:Y71" si="77">M67*W67</f>
        <v>35486.838844886777</v>
      </c>
      <c r="Z67" s="79">
        <f t="shared" ref="Z67:Z71" si="78">P67*W67</f>
        <v>64812.763415000001</v>
      </c>
      <c r="AA67" s="79">
        <f t="shared" ref="AA67:AA71" si="79">Q67*W67</f>
        <v>-29325.924570113224</v>
      </c>
      <c r="AB67" s="79">
        <f t="shared" ref="AB67:AB71" si="80">S67*W67</f>
        <v>54598.534670000001</v>
      </c>
      <c r="AC67" s="79">
        <f t="shared" ref="AC67:AC71" si="81">T67*W67</f>
        <v>-19111.695825113224</v>
      </c>
    </row>
    <row r="68" spans="1:29">
      <c r="A68" s="14">
        <v>312</v>
      </c>
      <c r="B68" s="15" t="s">
        <v>11</v>
      </c>
      <c r="C68" s="138">
        <v>44926</v>
      </c>
      <c r="D68" s="102">
        <v>4.4999999999999997E-3</v>
      </c>
      <c r="E68" s="152">
        <v>4.0000000000000001E-3</v>
      </c>
      <c r="F68" s="97">
        <v>-0.09</v>
      </c>
      <c r="G68" s="91">
        <f t="shared" si="73"/>
        <v>-3371812.6985999998</v>
      </c>
      <c r="H68" s="74">
        <v>37464585.539999999</v>
      </c>
      <c r="I68" s="74">
        <v>38411429</v>
      </c>
      <c r="J68" s="74">
        <f t="shared" si="74"/>
        <v>2424969.2386000007</v>
      </c>
      <c r="K68" s="13">
        <f t="shared" ref="K68:K71" si="82">2022-2011</f>
        <v>11</v>
      </c>
      <c r="L68" s="32">
        <f>(1-(D68/2)*K68)*K68</f>
        <v>10.72775</v>
      </c>
      <c r="M68" s="74">
        <f>J68/L68</f>
        <v>226046.39729673052</v>
      </c>
      <c r="N68" s="68">
        <f>M68/H68</f>
        <v>6.0336019747338843E-3</v>
      </c>
      <c r="O68" s="32">
        <v>10.6</v>
      </c>
      <c r="P68" s="13">
        <v>369102</v>
      </c>
      <c r="Q68" s="119">
        <f t="shared" si="75"/>
        <v>-143055.60270326948</v>
      </c>
      <c r="S68" s="13">
        <v>485382</v>
      </c>
      <c r="T68" s="13">
        <f t="shared" si="76"/>
        <v>-259335.60270326948</v>
      </c>
      <c r="W68" s="124">
        <v>0.4200275</v>
      </c>
      <c r="Y68" s="79">
        <f t="shared" si="77"/>
        <v>94945.703140552476</v>
      </c>
      <c r="Z68" s="79">
        <f t="shared" si="78"/>
        <v>155032.99030499998</v>
      </c>
      <c r="AA68" s="79">
        <f t="shared" si="79"/>
        <v>-60087.287164447524</v>
      </c>
      <c r="AB68" s="79">
        <f t="shared" si="80"/>
        <v>203873.78800500001</v>
      </c>
      <c r="AC68" s="79">
        <f t="shared" si="81"/>
        <v>-108928.08486444752</v>
      </c>
    </row>
    <row r="69" spans="1:29">
      <c r="A69" s="14">
        <v>314</v>
      </c>
      <c r="B69" s="15" t="s">
        <v>12</v>
      </c>
      <c r="C69" s="138">
        <v>44926</v>
      </c>
      <c r="D69" s="102">
        <v>6.0000000000000001E-3</v>
      </c>
      <c r="E69" s="152">
        <v>6.0000000000000001E-3</v>
      </c>
      <c r="F69" s="97">
        <v>-0.09</v>
      </c>
      <c r="G69" s="91">
        <f t="shared" si="73"/>
        <v>-1697742.9657000001</v>
      </c>
      <c r="H69" s="74">
        <v>18863810.73</v>
      </c>
      <c r="I69" s="74">
        <v>19218312</v>
      </c>
      <c r="J69" s="74">
        <f t="shared" si="74"/>
        <v>1343241.695700001</v>
      </c>
      <c r="K69" s="13">
        <f t="shared" si="82"/>
        <v>11</v>
      </c>
      <c r="L69" s="32">
        <f>(1-(D69/2)*K69)*K69</f>
        <v>10.637</v>
      </c>
      <c r="M69" s="74">
        <f>J69/L69</f>
        <v>126280.12557111976</v>
      </c>
      <c r="N69" s="68">
        <f>M69/H69</f>
        <v>6.6943062236248249E-3</v>
      </c>
      <c r="O69" s="32">
        <v>10.8</v>
      </c>
      <c r="P69" s="13">
        <v>212544</v>
      </c>
      <c r="Q69" s="119">
        <f t="shared" si="75"/>
        <v>-86263.874428880241</v>
      </c>
      <c r="S69" s="13">
        <v>305875</v>
      </c>
      <c r="T69" s="13">
        <f t="shared" si="76"/>
        <v>-179594.87442888023</v>
      </c>
      <c r="W69" s="124">
        <v>0.4200275</v>
      </c>
      <c r="Y69" s="79">
        <f t="shared" si="77"/>
        <v>53041.125443323501</v>
      </c>
      <c r="Z69" s="79">
        <f t="shared" si="78"/>
        <v>89274.324959999998</v>
      </c>
      <c r="AA69" s="79">
        <f t="shared" si="79"/>
        <v>-36233.199516676497</v>
      </c>
      <c r="AB69" s="79">
        <f t="shared" si="80"/>
        <v>128475.9115625</v>
      </c>
      <c r="AC69" s="79">
        <f t="shared" si="81"/>
        <v>-75434.786119176482</v>
      </c>
    </row>
    <row r="70" spans="1:29">
      <c r="A70" s="14">
        <v>315</v>
      </c>
      <c r="B70" s="15" t="s">
        <v>13</v>
      </c>
      <c r="C70" s="138">
        <v>44926</v>
      </c>
      <c r="D70" s="102">
        <v>1.5E-3</v>
      </c>
      <c r="E70" s="152">
        <v>1.5E-3</v>
      </c>
      <c r="F70" s="97">
        <v>-0.09</v>
      </c>
      <c r="G70" s="91">
        <f t="shared" si="73"/>
        <v>-707638.82219999994</v>
      </c>
      <c r="H70" s="74">
        <v>7862653.5800000001</v>
      </c>
      <c r="I70" s="74">
        <v>6383412</v>
      </c>
      <c r="J70" s="74">
        <f t="shared" si="74"/>
        <v>2186880.4022000004</v>
      </c>
      <c r="K70" s="13">
        <f t="shared" si="82"/>
        <v>11</v>
      </c>
      <c r="L70" s="32">
        <f>(1-(D70/2)*K70)*K70</f>
        <v>10.90925</v>
      </c>
      <c r="M70" s="74">
        <f>J70/L70</f>
        <v>200461.11347709515</v>
      </c>
      <c r="N70" s="68">
        <f>M70/H70</f>
        <v>2.5495351084397534E-2</v>
      </c>
      <c r="O70" s="32">
        <v>10.9</v>
      </c>
      <c r="P70" s="13">
        <v>228725</v>
      </c>
      <c r="Q70" s="119">
        <f t="shared" si="75"/>
        <v>-28263.886522904853</v>
      </c>
      <c r="S70" s="13">
        <v>262303</v>
      </c>
      <c r="T70" s="13">
        <f t="shared" si="76"/>
        <v>-61841.886522904853</v>
      </c>
      <c r="W70" s="124">
        <v>0.4200275</v>
      </c>
      <c r="Y70" s="79">
        <f t="shared" si="77"/>
        <v>84199.180341000581</v>
      </c>
      <c r="Z70" s="79">
        <f t="shared" si="78"/>
        <v>96070.789937499998</v>
      </c>
      <c r="AA70" s="79">
        <f t="shared" si="79"/>
        <v>-11871.609596499418</v>
      </c>
      <c r="AB70" s="79">
        <f t="shared" si="80"/>
        <v>110174.4733325</v>
      </c>
      <c r="AC70" s="79">
        <f t="shared" si="81"/>
        <v>-25975.292991499417</v>
      </c>
    </row>
    <row r="71" spans="1:29">
      <c r="A71" s="14">
        <v>316</v>
      </c>
      <c r="B71" s="15" t="s">
        <v>378</v>
      </c>
      <c r="C71" s="138">
        <v>44926</v>
      </c>
      <c r="D71" s="102">
        <v>1.6E-2</v>
      </c>
      <c r="E71" s="152">
        <v>1.4999999999999999E-2</v>
      </c>
      <c r="F71" s="97">
        <v>-0.09</v>
      </c>
      <c r="G71" s="91">
        <f t="shared" si="73"/>
        <v>-41218.086599999995</v>
      </c>
      <c r="H71" s="74">
        <v>457978.74</v>
      </c>
      <c r="I71" s="74">
        <v>400569</v>
      </c>
      <c r="J71" s="74">
        <f t="shared" si="74"/>
        <v>98627.826599999971</v>
      </c>
      <c r="K71" s="13">
        <f t="shared" si="82"/>
        <v>11</v>
      </c>
      <c r="L71" s="32">
        <f>(1-(D71/2)*K71)*K71</f>
        <v>10.032</v>
      </c>
      <c r="M71" s="74">
        <f>J71/L71</f>
        <v>9831.3224282296615</v>
      </c>
      <c r="N71" s="88">
        <f>M71/H71</f>
        <v>2.1466765964353852E-2</v>
      </c>
      <c r="O71" s="32">
        <v>10.1</v>
      </c>
      <c r="P71" s="13">
        <v>11590</v>
      </c>
      <c r="Q71" s="119">
        <f t="shared" si="75"/>
        <v>-1758.6775717703385</v>
      </c>
      <c r="S71" s="13">
        <v>10075</v>
      </c>
      <c r="T71" s="13">
        <f t="shared" si="76"/>
        <v>-243.67757177033855</v>
      </c>
      <c r="W71" s="124">
        <v>0.4200275</v>
      </c>
      <c r="Y71" s="79">
        <f t="shared" si="77"/>
        <v>4129.4257812232345</v>
      </c>
      <c r="Z71" s="79">
        <f t="shared" si="78"/>
        <v>4868.1187250000003</v>
      </c>
      <c r="AA71" s="79">
        <f t="shared" si="79"/>
        <v>-738.6929437767659</v>
      </c>
      <c r="AB71" s="79">
        <f t="shared" si="80"/>
        <v>4231.7770625000003</v>
      </c>
      <c r="AC71" s="79">
        <f t="shared" si="81"/>
        <v>-102.35128127676587</v>
      </c>
    </row>
    <row r="72" spans="1:29">
      <c r="A72" s="14"/>
      <c r="B72" s="33" t="s">
        <v>282</v>
      </c>
      <c r="C72" s="23"/>
      <c r="D72" s="102"/>
      <c r="E72" s="152">
        <v>5.0000000000000001E-3</v>
      </c>
      <c r="F72" s="96"/>
      <c r="G72" s="72"/>
      <c r="H72" s="75">
        <f>+SUBTOTAL(9,H66:H71)</f>
        <v>79917543.669999987</v>
      </c>
      <c r="I72" s="75">
        <f>+SUBTOTAL(9,I66:I71)</f>
        <v>80137270</v>
      </c>
      <c r="J72" s="75">
        <f>+SUBTOTAL(9,J66:J71)</f>
        <v>6972852.6003000028</v>
      </c>
      <c r="K72" s="13"/>
      <c r="L72" s="13"/>
      <c r="M72" s="75">
        <f>+SUBTOTAL(9,M66:M71)</f>
        <v>647105.90033030359</v>
      </c>
      <c r="N72" s="27">
        <f>+ROUND(M72/H72*100,2)</f>
        <v>0.81</v>
      </c>
      <c r="O72" s="31"/>
      <c r="P72" s="103">
        <f>+SUBTOTAL(9,P66:P71)</f>
        <v>976267</v>
      </c>
      <c r="Q72" s="120">
        <f>+SUBTOTAL(9,Q66:Q71)</f>
        <v>-329161.09966969641</v>
      </c>
      <c r="S72" s="103">
        <f>+SUBTOTAL(9,S66:S71)</f>
        <v>1193623</v>
      </c>
      <c r="T72" s="103">
        <f>+SUBTOTAL(9,T66:T71)</f>
        <v>-546517.09966969641</v>
      </c>
      <c r="Y72" s="75">
        <f t="shared" ref="Y72:AC72" si="83">+SUBTOTAL(9,Y66:Y71)</f>
        <v>271802.27355098655</v>
      </c>
      <c r="Z72" s="75">
        <f t="shared" si="83"/>
        <v>410058.98734249995</v>
      </c>
      <c r="AA72" s="75">
        <f t="shared" si="83"/>
        <v>-138256.71379151344</v>
      </c>
      <c r="AB72" s="75">
        <f t="shared" si="83"/>
        <v>501354.48463249998</v>
      </c>
      <c r="AC72" s="75">
        <f t="shared" si="83"/>
        <v>-229552.21108151341</v>
      </c>
    </row>
    <row r="73" spans="1:29">
      <c r="A73" s="14"/>
      <c r="B73" s="17"/>
      <c r="C73" s="23"/>
      <c r="D73" s="102"/>
      <c r="E73" s="152"/>
      <c r="F73" s="96"/>
      <c r="G73" s="72"/>
      <c r="H73" s="74"/>
      <c r="I73" s="74"/>
      <c r="J73" s="74"/>
      <c r="K73" s="13"/>
      <c r="L73" s="13"/>
      <c r="M73" s="74"/>
      <c r="N73" s="27"/>
      <c r="O73" s="31"/>
      <c r="P73" s="13"/>
      <c r="S73" s="13"/>
      <c r="T73" s="13"/>
    </row>
    <row r="74" spans="1:29">
      <c r="A74" s="14"/>
      <c r="B74" s="22" t="s">
        <v>76</v>
      </c>
      <c r="C74" s="43"/>
      <c r="E74" s="153"/>
      <c r="F74" s="96"/>
      <c r="G74" s="72"/>
      <c r="I74" s="73"/>
      <c r="J74" s="73"/>
      <c r="K74" s="19"/>
      <c r="L74" s="19"/>
      <c r="M74" s="73"/>
      <c r="N74" s="27"/>
      <c r="O74" s="31"/>
      <c r="P74" s="19"/>
      <c r="S74" s="19"/>
      <c r="T74" s="19"/>
    </row>
    <row r="75" spans="1:29">
      <c r="A75" s="14">
        <v>311</v>
      </c>
      <c r="B75" s="15" t="s">
        <v>162</v>
      </c>
      <c r="C75" s="138">
        <v>47848</v>
      </c>
      <c r="D75" s="102">
        <v>2E-3</v>
      </c>
      <c r="E75" s="152">
        <v>2E-3</v>
      </c>
      <c r="F75" s="97">
        <v>-0.04</v>
      </c>
      <c r="G75" s="91">
        <f t="shared" ref="G75:G79" si="84">H75*F75</f>
        <v>-702560.19160000002</v>
      </c>
      <c r="H75" s="74">
        <v>17564004.789999999</v>
      </c>
      <c r="I75" s="74">
        <v>4268155</v>
      </c>
      <c r="J75" s="74">
        <f t="shared" ref="J75:J79" si="85">H75-G75-I75</f>
        <v>13998409.981599998</v>
      </c>
      <c r="K75" s="13">
        <f>2030-2011</f>
        <v>19</v>
      </c>
      <c r="L75" s="32">
        <f>(1-(D75/2)*K75)*K75</f>
        <v>18.638999999999999</v>
      </c>
      <c r="M75" s="74">
        <f>J75/L75</f>
        <v>751027.95115617779</v>
      </c>
      <c r="N75" s="68">
        <f>M75/H75</f>
        <v>4.2759493642575912E-2</v>
      </c>
      <c r="O75" s="32">
        <v>18.7</v>
      </c>
      <c r="P75" s="13">
        <v>767503</v>
      </c>
      <c r="Q75" s="119">
        <f t="shared" ref="Q75:Q79" si="86">M75-P75</f>
        <v>-16475.048843822209</v>
      </c>
      <c r="S75" s="13">
        <v>807720</v>
      </c>
      <c r="T75" s="13">
        <f t="shared" ref="T75:T79" si="87">M75-S75</f>
        <v>-56692.048843822209</v>
      </c>
      <c r="W75" s="124">
        <v>0.4200275</v>
      </c>
      <c r="Y75" s="79">
        <f t="shared" ref="Y75:Y79" si="88">M75*W75</f>
        <v>315452.39275425149</v>
      </c>
      <c r="Z75" s="79">
        <f t="shared" ref="Z75:Z79" si="89">P75*W75</f>
        <v>322372.36633250001</v>
      </c>
      <c r="AA75" s="79">
        <f t="shared" ref="AA75:AA79" si="90">Q75*W75</f>
        <v>-6919.9735782485332</v>
      </c>
      <c r="AB75" s="79">
        <f t="shared" ref="AB75:AB79" si="91">S75*W75</f>
        <v>339264.61229999998</v>
      </c>
      <c r="AC75" s="79">
        <f t="shared" ref="AC75:AC79" si="92">T75*W75</f>
        <v>-23812.219545748532</v>
      </c>
    </row>
    <row r="76" spans="1:29">
      <c r="A76" s="14">
        <v>312</v>
      </c>
      <c r="B76" s="15" t="s">
        <v>11</v>
      </c>
      <c r="C76" s="138">
        <v>47848</v>
      </c>
      <c r="D76" s="102">
        <v>4.4999999999999997E-3</v>
      </c>
      <c r="E76" s="152">
        <v>4.0000000000000001E-3</v>
      </c>
      <c r="F76" s="97">
        <v>-0.03</v>
      </c>
      <c r="G76" s="91">
        <f t="shared" si="84"/>
        <v>-1563125.4950999999</v>
      </c>
      <c r="H76" s="74">
        <v>52104183.170000002</v>
      </c>
      <c r="I76" s="74">
        <v>28185580</v>
      </c>
      <c r="J76" s="74">
        <f t="shared" si="85"/>
        <v>25481728.665100001</v>
      </c>
      <c r="K76" s="13">
        <f t="shared" ref="K76:K79" si="93">2030-2011</f>
        <v>19</v>
      </c>
      <c r="L76" s="32">
        <f>(1-(D76/2)*K76)*K76</f>
        <v>18.187750000000001</v>
      </c>
      <c r="M76" s="74">
        <f>J76/L76</f>
        <v>1401037.9879369356</v>
      </c>
      <c r="N76" s="68">
        <f>M76/H76</f>
        <v>2.6889165182107884E-2</v>
      </c>
      <c r="O76" s="32">
        <v>17.3</v>
      </c>
      <c r="P76" s="13">
        <v>1562139</v>
      </c>
      <c r="Q76" s="119">
        <f t="shared" si="86"/>
        <v>-161101.01206306438</v>
      </c>
      <c r="S76" s="13">
        <v>1762622</v>
      </c>
      <c r="T76" s="13">
        <f t="shared" si="87"/>
        <v>-361584.01206306438</v>
      </c>
      <c r="W76" s="124">
        <v>0.4200275</v>
      </c>
      <c r="Y76" s="79">
        <f t="shared" si="88"/>
        <v>588474.48347818118</v>
      </c>
      <c r="Z76" s="79">
        <f t="shared" si="89"/>
        <v>656141.33882249997</v>
      </c>
      <c r="AA76" s="79">
        <f t="shared" si="90"/>
        <v>-67666.85534431877</v>
      </c>
      <c r="AB76" s="79">
        <f t="shared" si="91"/>
        <v>740349.71210500004</v>
      </c>
      <c r="AC76" s="79">
        <f t="shared" si="92"/>
        <v>-151875.22862681877</v>
      </c>
    </row>
    <row r="77" spans="1:29">
      <c r="A77" s="14">
        <v>314</v>
      </c>
      <c r="B77" s="15" t="s">
        <v>12</v>
      </c>
      <c r="C77" s="138">
        <v>47848</v>
      </c>
      <c r="D77" s="102">
        <v>6.0000000000000001E-3</v>
      </c>
      <c r="E77" s="152">
        <v>6.0000000000000001E-3</v>
      </c>
      <c r="F77" s="97">
        <v>-0.04</v>
      </c>
      <c r="G77" s="91">
        <f t="shared" si="84"/>
        <v>-319168.64760000003</v>
      </c>
      <c r="H77" s="74">
        <v>7979216.1900000004</v>
      </c>
      <c r="I77" s="74">
        <v>4140125</v>
      </c>
      <c r="J77" s="74">
        <f t="shared" si="85"/>
        <v>4158259.8376000002</v>
      </c>
      <c r="K77" s="13">
        <f t="shared" si="93"/>
        <v>19</v>
      </c>
      <c r="L77" s="32">
        <f>(1-(D77/2)*K77)*K77</f>
        <v>17.916999999999998</v>
      </c>
      <c r="M77" s="74">
        <f>J77/L77</f>
        <v>232084.60331528718</v>
      </c>
      <c r="N77" s="68">
        <f>M77/H77</f>
        <v>2.9086140516677388E-2</v>
      </c>
      <c r="O77" s="32">
        <v>17.2</v>
      </c>
      <c r="P77" s="13">
        <v>256028</v>
      </c>
      <c r="Q77" s="119">
        <f t="shared" si="86"/>
        <v>-23943.396684712818</v>
      </c>
      <c r="S77" s="13">
        <v>343218</v>
      </c>
      <c r="T77" s="13">
        <f t="shared" si="87"/>
        <v>-111133.39668471282</v>
      </c>
      <c r="W77" s="124">
        <v>0.4200275</v>
      </c>
      <c r="Y77" s="79">
        <f t="shared" si="88"/>
        <v>97481.915719011784</v>
      </c>
      <c r="Z77" s="79">
        <f t="shared" si="89"/>
        <v>107538.80077</v>
      </c>
      <c r="AA77" s="79">
        <f t="shared" si="90"/>
        <v>-10056.885050988212</v>
      </c>
      <c r="AB77" s="79">
        <f t="shared" si="91"/>
        <v>144160.99849500001</v>
      </c>
      <c r="AC77" s="79">
        <f t="shared" si="92"/>
        <v>-46679.082775988216</v>
      </c>
    </row>
    <row r="78" spans="1:29">
      <c r="A78" s="14">
        <v>315</v>
      </c>
      <c r="B78" s="15" t="s">
        <v>13</v>
      </c>
      <c r="C78" s="138">
        <v>47848</v>
      </c>
      <c r="D78" s="102">
        <v>1.5E-3</v>
      </c>
      <c r="E78" s="152">
        <v>1.5E-3</v>
      </c>
      <c r="F78" s="97">
        <v>-0.03</v>
      </c>
      <c r="G78" s="91">
        <f t="shared" si="84"/>
        <v>-75972.54389999999</v>
      </c>
      <c r="H78" s="74">
        <v>2532418.13</v>
      </c>
      <c r="I78" s="74">
        <v>1839935</v>
      </c>
      <c r="J78" s="74">
        <f t="shared" si="85"/>
        <v>768455.67389999982</v>
      </c>
      <c r="K78" s="13">
        <f t="shared" si="93"/>
        <v>19</v>
      </c>
      <c r="L78" s="32">
        <f>(1-(D78/2)*K78)*K78</f>
        <v>18.72925</v>
      </c>
      <c r="M78" s="74">
        <f>J78/L78</f>
        <v>41029.708819093117</v>
      </c>
      <c r="N78" s="68">
        <f>M78/H78</f>
        <v>1.6201790823181763E-2</v>
      </c>
      <c r="O78" s="32">
        <v>18</v>
      </c>
      <c r="P78" s="13">
        <v>45615</v>
      </c>
      <c r="Q78" s="119">
        <f t="shared" si="86"/>
        <v>-4585.2911809068828</v>
      </c>
      <c r="S78" s="13">
        <v>45520</v>
      </c>
      <c r="T78" s="13">
        <f t="shared" si="87"/>
        <v>-4490.2911809068828</v>
      </c>
      <c r="W78" s="124">
        <v>0.4200275</v>
      </c>
      <c r="Y78" s="79">
        <f t="shared" si="88"/>
        <v>17233.606021011634</v>
      </c>
      <c r="Z78" s="79">
        <f t="shared" si="89"/>
        <v>19159.554412500001</v>
      </c>
      <c r="AA78" s="79">
        <f t="shared" si="90"/>
        <v>-1925.9483914883658</v>
      </c>
      <c r="AB78" s="79">
        <f t="shared" si="91"/>
        <v>19119.6518</v>
      </c>
      <c r="AC78" s="79">
        <f t="shared" si="92"/>
        <v>-1886.0457789883658</v>
      </c>
    </row>
    <row r="79" spans="1:29">
      <c r="A79" s="14">
        <v>316</v>
      </c>
      <c r="B79" s="15" t="s">
        <v>378</v>
      </c>
      <c r="C79" s="138">
        <v>47848</v>
      </c>
      <c r="D79" s="102">
        <v>1.6E-2</v>
      </c>
      <c r="E79" s="152">
        <v>1.4999999999999999E-2</v>
      </c>
      <c r="F79" s="97">
        <v>-0.04</v>
      </c>
      <c r="G79" s="91">
        <f t="shared" si="84"/>
        <v>-48167.504800000002</v>
      </c>
      <c r="H79" s="74">
        <v>1204187.6200000001</v>
      </c>
      <c r="I79" s="74">
        <v>678648</v>
      </c>
      <c r="J79" s="74">
        <f t="shared" si="85"/>
        <v>573707.12480000011</v>
      </c>
      <c r="K79" s="13">
        <f t="shared" si="93"/>
        <v>19</v>
      </c>
      <c r="L79" s="32">
        <f>(1-(D79/2)*K79)*K79</f>
        <v>16.111999999999998</v>
      </c>
      <c r="M79" s="74">
        <f>J79/L79</f>
        <v>35607.443197616696</v>
      </c>
      <c r="N79" s="88">
        <f>M79/H79</f>
        <v>2.9569680510099158E-2</v>
      </c>
      <c r="O79" s="32">
        <v>15.7</v>
      </c>
      <c r="P79" s="13">
        <v>38101</v>
      </c>
      <c r="Q79" s="119">
        <f t="shared" si="86"/>
        <v>-2493.5568023833039</v>
      </c>
      <c r="S79" s="13">
        <v>38040</v>
      </c>
      <c r="T79" s="13">
        <f t="shared" si="87"/>
        <v>-2432.5568023833039</v>
      </c>
      <c r="W79" s="124">
        <v>0.4200275</v>
      </c>
      <c r="Y79" s="79">
        <f t="shared" si="88"/>
        <v>14956.105347686947</v>
      </c>
      <c r="Z79" s="79">
        <f t="shared" si="89"/>
        <v>16003.4677775</v>
      </c>
      <c r="AA79" s="79">
        <f t="shared" si="90"/>
        <v>-1047.3624298130533</v>
      </c>
      <c r="AB79" s="79">
        <f t="shared" si="91"/>
        <v>15977.846100000001</v>
      </c>
      <c r="AC79" s="79">
        <f t="shared" si="92"/>
        <v>-1021.7407523130531</v>
      </c>
    </row>
    <row r="80" spans="1:29">
      <c r="A80" s="14"/>
      <c r="B80" s="33" t="s">
        <v>274</v>
      </c>
      <c r="C80" s="23"/>
      <c r="D80" s="102"/>
      <c r="E80" s="152"/>
      <c r="F80" s="96"/>
      <c r="G80" s="72"/>
      <c r="H80" s="75">
        <f>+SUBTOTAL(9,H74:H79)</f>
        <v>81384009.900000006</v>
      </c>
      <c r="I80" s="75">
        <f>+SUBTOTAL(9,I74:I79)</f>
        <v>39112443</v>
      </c>
      <c r="J80" s="75">
        <f>+SUBTOTAL(9,J74:J79)</f>
        <v>44980561.282999992</v>
      </c>
      <c r="K80" s="13"/>
      <c r="L80" s="13"/>
      <c r="M80" s="75">
        <f>+SUBTOTAL(9,M74:M79)</f>
        <v>2460787.6944251107</v>
      </c>
      <c r="N80" s="27">
        <f>+ROUND(M80/H80*100,2)</f>
        <v>3.02</v>
      </c>
      <c r="O80" s="31"/>
      <c r="P80" s="103">
        <f>+SUBTOTAL(9,P74:P79)</f>
        <v>2669386</v>
      </c>
      <c r="Q80" s="120">
        <f>+SUBTOTAL(9,Q74:Q79)</f>
        <v>-208598.30557488959</v>
      </c>
      <c r="S80" s="103">
        <f>+SUBTOTAL(9,S74:S79)</f>
        <v>2997120</v>
      </c>
      <c r="T80" s="103">
        <f>+SUBTOTAL(9,T74:T79)</f>
        <v>-536332.30557488964</v>
      </c>
      <c r="Y80" s="75">
        <f t="shared" ref="Y80:AC80" si="94">+SUBTOTAL(9,Y74:Y79)</f>
        <v>1033598.503320143</v>
      </c>
      <c r="Z80" s="75">
        <f t="shared" si="94"/>
        <v>1121215.5281149999</v>
      </c>
      <c r="AA80" s="75">
        <f t="shared" si="94"/>
        <v>-87617.024794856945</v>
      </c>
      <c r="AB80" s="75">
        <f t="shared" si="94"/>
        <v>1258872.8208000001</v>
      </c>
      <c r="AC80" s="75">
        <f t="shared" si="94"/>
        <v>-225274.31747985692</v>
      </c>
    </row>
    <row r="81" spans="1:29">
      <c r="A81" s="14"/>
      <c r="B81" s="17"/>
      <c r="C81" s="43"/>
      <c r="E81" s="153"/>
      <c r="F81" s="96"/>
      <c r="G81" s="72"/>
      <c r="I81" s="73"/>
      <c r="J81" s="73"/>
      <c r="K81" s="19"/>
      <c r="L81" s="19"/>
      <c r="M81" s="73"/>
      <c r="N81" s="27"/>
      <c r="O81" s="31"/>
      <c r="P81" s="19"/>
      <c r="S81" s="19"/>
      <c r="T81" s="19"/>
    </row>
    <row r="82" spans="1:29">
      <c r="A82" s="14"/>
      <c r="B82" s="22" t="s">
        <v>77</v>
      </c>
      <c r="C82" s="43"/>
      <c r="E82" s="153"/>
      <c r="F82" s="96"/>
      <c r="G82" s="72"/>
      <c r="I82" s="73"/>
      <c r="J82" s="73"/>
      <c r="K82" s="19"/>
      <c r="L82" s="19"/>
      <c r="M82" s="73"/>
      <c r="N82" s="27"/>
      <c r="O82" s="31"/>
      <c r="P82" s="19"/>
      <c r="S82" s="19"/>
      <c r="T82" s="19"/>
    </row>
    <row r="83" spans="1:29">
      <c r="A83" s="14">
        <v>310.2</v>
      </c>
      <c r="B83" s="15" t="s">
        <v>10</v>
      </c>
      <c r="C83" s="138">
        <v>52231</v>
      </c>
      <c r="D83" s="102">
        <v>0</v>
      </c>
      <c r="E83" s="152">
        <v>0</v>
      </c>
      <c r="F83" s="97">
        <v>0</v>
      </c>
      <c r="G83" s="91">
        <f t="shared" ref="G83:G88" si="95">H83*F83</f>
        <v>0</v>
      </c>
      <c r="H83" s="74">
        <v>246337.54</v>
      </c>
      <c r="I83" s="74">
        <v>129260</v>
      </c>
      <c r="J83" s="74">
        <f t="shared" ref="J83:J88" si="96">H83-G83-I83</f>
        <v>117077.54000000001</v>
      </c>
      <c r="K83" s="13">
        <f>2042-2011</f>
        <v>31</v>
      </c>
      <c r="L83" s="32">
        <f t="shared" ref="L83:L88" si="97">(1-(D83/2)*K83)*K83</f>
        <v>31</v>
      </c>
      <c r="M83" s="74">
        <f t="shared" ref="M83:M88" si="98">J83/L83</f>
        <v>3776.6948387096777</v>
      </c>
      <c r="N83" s="68">
        <f t="shared" ref="N83:N88" si="99">M83/H83</f>
        <v>1.5331381642885927E-2</v>
      </c>
      <c r="O83" s="32">
        <v>31</v>
      </c>
      <c r="P83" s="13">
        <v>3777</v>
      </c>
      <c r="Q83" s="119">
        <f t="shared" ref="Q83:Q88" si="100">M83-P83</f>
        <v>-0.3051612903223031</v>
      </c>
      <c r="S83" s="13">
        <v>3818</v>
      </c>
      <c r="T83" s="13">
        <f t="shared" ref="T83:T88" si="101">M83-S83</f>
        <v>-41.305161290322303</v>
      </c>
      <c r="W83" s="124">
        <v>0.4200275</v>
      </c>
      <c r="Y83" s="79">
        <f t="shared" ref="Y83:Y88" si="102">M83*W83</f>
        <v>1586.3156913661292</v>
      </c>
      <c r="Z83" s="79">
        <f t="shared" ref="Z83:Z88" si="103">P83*W83</f>
        <v>1586.4438674999999</v>
      </c>
      <c r="AA83" s="79">
        <f t="shared" ref="AA83:AA88" si="104">Q83*W83</f>
        <v>-0.12817613387085117</v>
      </c>
      <c r="AB83" s="79">
        <f t="shared" ref="AB83:AB88" si="105">S83*W83</f>
        <v>1603.6649950000001</v>
      </c>
      <c r="AC83" s="79">
        <f t="shared" ref="AC83:AC88" si="106">T83*W83</f>
        <v>-17.34930363387085</v>
      </c>
    </row>
    <row r="84" spans="1:29">
      <c r="A84" s="14">
        <v>311</v>
      </c>
      <c r="B84" s="15" t="s">
        <v>162</v>
      </c>
      <c r="C84" s="138">
        <v>52231</v>
      </c>
      <c r="D84" s="102">
        <v>2E-3</v>
      </c>
      <c r="E84" s="152">
        <v>2E-3</v>
      </c>
      <c r="F84" s="97">
        <v>-0.04</v>
      </c>
      <c r="G84" s="91">
        <f t="shared" si="95"/>
        <v>-8277645.2196000004</v>
      </c>
      <c r="H84" s="74">
        <v>206941130.49000001</v>
      </c>
      <c r="I84" s="74">
        <v>112578914</v>
      </c>
      <c r="J84" s="74">
        <f t="shared" si="96"/>
        <v>102639861.7096</v>
      </c>
      <c r="K84" s="13">
        <f t="shared" ref="K84:K88" si="107">2042-2011</f>
        <v>31</v>
      </c>
      <c r="L84" s="32">
        <f t="shared" si="97"/>
        <v>30.038999999999998</v>
      </c>
      <c r="M84" s="74">
        <f t="shared" si="98"/>
        <v>3416886.770851227</v>
      </c>
      <c r="N84" s="68">
        <f t="shared" si="99"/>
        <v>1.6511395113966196E-2</v>
      </c>
      <c r="O84" s="32">
        <v>29.1</v>
      </c>
      <c r="P84" s="13">
        <v>3881788</v>
      </c>
      <c r="Q84" s="119">
        <f t="shared" si="100"/>
        <v>-464901.22914877301</v>
      </c>
      <c r="S84" s="13">
        <v>3848405</v>
      </c>
      <c r="T84" s="13">
        <f t="shared" si="101"/>
        <v>-431518.22914877301</v>
      </c>
      <c r="W84" s="124">
        <v>0.4200275</v>
      </c>
      <c r="Y84" s="79">
        <f t="shared" si="102"/>
        <v>1435186.4081437138</v>
      </c>
      <c r="Z84" s="79">
        <f t="shared" si="103"/>
        <v>1630457.7091699999</v>
      </c>
      <c r="AA84" s="79">
        <f t="shared" si="104"/>
        <v>-195271.30102628627</v>
      </c>
      <c r="AB84" s="79">
        <f t="shared" si="105"/>
        <v>1616435.9311375001</v>
      </c>
      <c r="AC84" s="79">
        <f t="shared" si="106"/>
        <v>-181249.52299378626</v>
      </c>
    </row>
    <row r="85" spans="1:29">
      <c r="A85" s="14">
        <v>312</v>
      </c>
      <c r="B85" s="15" t="s">
        <v>11</v>
      </c>
      <c r="C85" s="138">
        <v>52231</v>
      </c>
      <c r="D85" s="102">
        <v>4.4999999999999997E-3</v>
      </c>
      <c r="E85" s="152">
        <v>4.0000000000000001E-3</v>
      </c>
      <c r="F85" s="97">
        <v>-0.04</v>
      </c>
      <c r="G85" s="91">
        <f t="shared" si="95"/>
        <v>-25289261.891199999</v>
      </c>
      <c r="H85" s="74">
        <v>632231547.27999997</v>
      </c>
      <c r="I85" s="74">
        <v>236747622</v>
      </c>
      <c r="J85" s="74">
        <f t="shared" si="96"/>
        <v>420773187.17119992</v>
      </c>
      <c r="K85" s="13">
        <f t="shared" si="107"/>
        <v>31</v>
      </c>
      <c r="L85" s="32">
        <f t="shared" si="97"/>
        <v>28.83775</v>
      </c>
      <c r="M85" s="74">
        <f t="shared" si="98"/>
        <v>14591054.682532441</v>
      </c>
      <c r="N85" s="68">
        <f t="shared" si="99"/>
        <v>2.307865645949872E-2</v>
      </c>
      <c r="O85" s="32">
        <v>26.3</v>
      </c>
      <c r="P85" s="13">
        <v>16712079</v>
      </c>
      <c r="Q85" s="119">
        <f t="shared" si="100"/>
        <v>-2121024.3174675591</v>
      </c>
      <c r="S85" s="13">
        <v>20080126</v>
      </c>
      <c r="T85" s="13">
        <f t="shared" si="101"/>
        <v>-5489071.3174675591</v>
      </c>
      <c r="W85" s="124">
        <v>0.4200275</v>
      </c>
      <c r="Y85" s="79">
        <f t="shared" si="102"/>
        <v>6128644.2206673948</v>
      </c>
      <c r="Z85" s="79">
        <f t="shared" si="103"/>
        <v>7019532.7621724997</v>
      </c>
      <c r="AA85" s="79">
        <f t="shared" si="104"/>
        <v>-890888.54150510521</v>
      </c>
      <c r="AB85" s="79">
        <f t="shared" si="105"/>
        <v>8434205.1234649997</v>
      </c>
      <c r="AC85" s="79">
        <f t="shared" si="106"/>
        <v>-2305560.9027976054</v>
      </c>
    </row>
    <row r="86" spans="1:29">
      <c r="A86" s="14">
        <v>314</v>
      </c>
      <c r="B86" s="15" t="s">
        <v>12</v>
      </c>
      <c r="C86" s="138">
        <v>52231</v>
      </c>
      <c r="D86" s="102">
        <v>6.0000000000000001E-3</v>
      </c>
      <c r="E86" s="152">
        <v>6.0000000000000001E-3</v>
      </c>
      <c r="F86" s="97">
        <v>-0.04</v>
      </c>
      <c r="G86" s="91">
        <f t="shared" si="95"/>
        <v>-7569144.8439999996</v>
      </c>
      <c r="H86" s="74">
        <v>189228621.09999999</v>
      </c>
      <c r="I86" s="74">
        <v>57761424</v>
      </c>
      <c r="J86" s="74">
        <f t="shared" si="96"/>
        <v>139036341.94400001</v>
      </c>
      <c r="K86" s="13">
        <f t="shared" si="107"/>
        <v>31</v>
      </c>
      <c r="L86" s="32">
        <f t="shared" si="97"/>
        <v>28.117000000000001</v>
      </c>
      <c r="M86" s="74">
        <f t="shared" si="98"/>
        <v>4944920.9355194364</v>
      </c>
      <c r="N86" s="68">
        <f t="shared" si="99"/>
        <v>2.613199264875601E-2</v>
      </c>
      <c r="O86" s="32">
        <v>26.4</v>
      </c>
      <c r="P86" s="13">
        <v>5633110</v>
      </c>
      <c r="Q86" s="119">
        <f t="shared" si="100"/>
        <v>-688189.06448056363</v>
      </c>
      <c r="S86" s="13">
        <v>7018485</v>
      </c>
      <c r="T86" s="13">
        <f t="shared" si="101"/>
        <v>-2073564.0644805636</v>
      </c>
      <c r="W86" s="124">
        <v>0.4200275</v>
      </c>
      <c r="Y86" s="79">
        <f t="shared" si="102"/>
        <v>2077002.77824389</v>
      </c>
      <c r="Z86" s="79">
        <f t="shared" si="103"/>
        <v>2366061.1105249999</v>
      </c>
      <c r="AA86" s="79">
        <f t="shared" si="104"/>
        <v>-289058.33228110994</v>
      </c>
      <c r="AB86" s="79">
        <f t="shared" si="105"/>
        <v>2947956.7083374998</v>
      </c>
      <c r="AC86" s="79">
        <f t="shared" si="106"/>
        <v>-870953.93009360996</v>
      </c>
    </row>
    <row r="87" spans="1:29">
      <c r="A87" s="14">
        <v>315</v>
      </c>
      <c r="B87" s="15" t="s">
        <v>13</v>
      </c>
      <c r="C87" s="138">
        <v>52231</v>
      </c>
      <c r="D87" s="102">
        <v>1.5E-3</v>
      </c>
      <c r="E87" s="152">
        <v>1.5E-3</v>
      </c>
      <c r="F87" s="97">
        <v>-0.03</v>
      </c>
      <c r="G87" s="91">
        <f t="shared" si="95"/>
        <v>-2955160.8698999998</v>
      </c>
      <c r="H87" s="74">
        <v>98505362.329999998</v>
      </c>
      <c r="I87" s="74">
        <v>52502381</v>
      </c>
      <c r="J87" s="74">
        <f t="shared" si="96"/>
        <v>48958142.199900001</v>
      </c>
      <c r="K87" s="13">
        <f t="shared" si="107"/>
        <v>31</v>
      </c>
      <c r="L87" s="32">
        <f t="shared" si="97"/>
        <v>30.279250000000001</v>
      </c>
      <c r="M87" s="74">
        <f t="shared" si="98"/>
        <v>1616887.5450977155</v>
      </c>
      <c r="N87" s="68">
        <f t="shared" si="99"/>
        <v>1.6414208392848979E-2</v>
      </c>
      <c r="O87" s="32">
        <v>28.5</v>
      </c>
      <c r="P87" s="13">
        <v>1856086</v>
      </c>
      <c r="Q87" s="119">
        <f t="shared" si="100"/>
        <v>-239198.45490228455</v>
      </c>
      <c r="S87" s="13">
        <v>1836981</v>
      </c>
      <c r="T87" s="13">
        <f t="shared" si="101"/>
        <v>-220093.45490228455</v>
      </c>
      <c r="W87" s="124">
        <v>0.4200275</v>
      </c>
      <c r="Y87" s="79">
        <f t="shared" si="102"/>
        <v>679137.23334853072</v>
      </c>
      <c r="Z87" s="79">
        <f t="shared" si="103"/>
        <v>779607.162365</v>
      </c>
      <c r="AA87" s="79">
        <f t="shared" si="104"/>
        <v>-100469.92901646932</v>
      </c>
      <c r="AB87" s="79">
        <f t="shared" si="105"/>
        <v>771582.53697749996</v>
      </c>
      <c r="AC87" s="79">
        <f t="shared" si="106"/>
        <v>-92445.303628969326</v>
      </c>
    </row>
    <row r="88" spans="1:29">
      <c r="A88" s="14">
        <v>316</v>
      </c>
      <c r="B88" s="15" t="s">
        <v>378</v>
      </c>
      <c r="C88" s="138">
        <v>52231</v>
      </c>
      <c r="D88" s="102">
        <v>1.6E-2</v>
      </c>
      <c r="E88" s="152">
        <v>1.4999999999999999E-2</v>
      </c>
      <c r="F88" s="97">
        <v>-0.05</v>
      </c>
      <c r="G88" s="91">
        <f t="shared" si="95"/>
        <v>-182278.39050000001</v>
      </c>
      <c r="H88" s="74">
        <v>3645567.81</v>
      </c>
      <c r="I88" s="74">
        <v>1606519</v>
      </c>
      <c r="J88" s="74">
        <f t="shared" si="96"/>
        <v>2221327.2005000003</v>
      </c>
      <c r="K88" s="13">
        <f t="shared" si="107"/>
        <v>31</v>
      </c>
      <c r="L88" s="32">
        <f t="shared" si="97"/>
        <v>23.312000000000001</v>
      </c>
      <c r="M88" s="74">
        <f t="shared" si="98"/>
        <v>95286.85657601236</v>
      </c>
      <c r="N88" s="88">
        <f t="shared" si="99"/>
        <v>2.6137727109240731E-2</v>
      </c>
      <c r="O88" s="32">
        <v>22.1</v>
      </c>
      <c r="P88" s="13">
        <v>105656</v>
      </c>
      <c r="Q88" s="119">
        <f t="shared" si="100"/>
        <v>-10369.14342398764</v>
      </c>
      <c r="S88" s="13">
        <v>105228</v>
      </c>
      <c r="T88" s="13">
        <f t="shared" si="101"/>
        <v>-9941.1434239876398</v>
      </c>
      <c r="W88" s="124">
        <v>0.4200275</v>
      </c>
      <c r="Y88" s="79">
        <f t="shared" si="102"/>
        <v>40023.100150481034</v>
      </c>
      <c r="Z88" s="79">
        <f t="shared" si="103"/>
        <v>44378.425539999997</v>
      </c>
      <c r="AA88" s="79">
        <f t="shared" si="104"/>
        <v>-4355.3253895189682</v>
      </c>
      <c r="AB88" s="79">
        <f t="shared" si="105"/>
        <v>44198.653769999997</v>
      </c>
      <c r="AC88" s="79">
        <f t="shared" si="106"/>
        <v>-4175.5536195189679</v>
      </c>
    </row>
    <row r="89" spans="1:29">
      <c r="A89" s="14"/>
      <c r="B89" s="33" t="s">
        <v>273</v>
      </c>
      <c r="C89" s="23"/>
      <c r="D89" s="102"/>
      <c r="E89" s="152"/>
      <c r="F89" s="96"/>
      <c r="G89" s="72"/>
      <c r="H89" s="75">
        <f>+SUBTOTAL(9,H83:H88)</f>
        <v>1130798566.55</v>
      </c>
      <c r="I89" s="75">
        <f>+SUBTOTAL(9,I83:I88)</f>
        <v>461326120</v>
      </c>
      <c r="J89" s="75">
        <f>+SUBTOTAL(9,J83:J88)</f>
        <v>713745937.76520002</v>
      </c>
      <c r="K89" s="13"/>
      <c r="L89" s="13"/>
      <c r="M89" s="75">
        <f>+SUBTOTAL(9,M83:M88)</f>
        <v>24668813.485415541</v>
      </c>
      <c r="N89" s="27">
        <f>+ROUND(M89/H89*100,2)</f>
        <v>2.1800000000000002</v>
      </c>
      <c r="O89" s="31"/>
      <c r="P89" s="103">
        <f>+SUBTOTAL(9,P83:P88)</f>
        <v>28192496</v>
      </c>
      <c r="Q89" s="120">
        <f>+SUBTOTAL(9,Q83:Q88)</f>
        <v>-3523682.5145844584</v>
      </c>
      <c r="S89" s="103">
        <f>+SUBTOTAL(9,S83:S88)</f>
        <v>32893043</v>
      </c>
      <c r="T89" s="103">
        <f>+SUBTOTAL(9,T83:T88)</f>
        <v>-8224229.5145844584</v>
      </c>
      <c r="Y89" s="75">
        <f t="shared" ref="Y89:AC89" si="108">+SUBTOTAL(9,Y83:Y88)</f>
        <v>10361580.056245375</v>
      </c>
      <c r="Z89" s="75">
        <f t="shared" si="108"/>
        <v>11841623.613639999</v>
      </c>
      <c r="AA89" s="75">
        <f t="shared" si="108"/>
        <v>-1480043.5573946233</v>
      </c>
      <c r="AB89" s="75">
        <f t="shared" si="108"/>
        <v>13815982.6186825</v>
      </c>
      <c r="AC89" s="75">
        <f t="shared" si="108"/>
        <v>-3454402.5624371241</v>
      </c>
    </row>
    <row r="90" spans="1:29">
      <c r="A90" s="14"/>
      <c r="B90" s="15"/>
      <c r="C90" s="43"/>
      <c r="E90" s="153"/>
      <c r="F90" s="96"/>
      <c r="G90" s="72"/>
      <c r="I90" s="73"/>
      <c r="J90" s="73"/>
      <c r="K90" s="19"/>
      <c r="L90" s="19"/>
      <c r="M90" s="73"/>
      <c r="N90" s="27"/>
      <c r="O90" s="31"/>
      <c r="P90" s="19"/>
      <c r="S90" s="19"/>
      <c r="T90" s="19"/>
    </row>
    <row r="91" spans="1:29">
      <c r="A91" s="14"/>
      <c r="B91" s="22" t="s">
        <v>78</v>
      </c>
      <c r="C91" s="43"/>
      <c r="E91" s="153"/>
      <c r="F91" s="96"/>
      <c r="G91" s="72"/>
      <c r="I91" s="73"/>
      <c r="J91" s="73"/>
      <c r="K91" s="19"/>
      <c r="L91" s="19"/>
      <c r="M91" s="73"/>
      <c r="N91" s="27"/>
      <c r="O91" s="31"/>
      <c r="P91" s="19"/>
      <c r="S91" s="19"/>
      <c r="T91" s="19"/>
    </row>
    <row r="92" spans="1:29">
      <c r="A92" s="14">
        <v>311</v>
      </c>
      <c r="B92" s="15" t="s">
        <v>162</v>
      </c>
      <c r="C92" s="138">
        <v>50040</v>
      </c>
      <c r="D92" s="102">
        <v>2E-3</v>
      </c>
      <c r="E92" s="152">
        <v>2E-3</v>
      </c>
      <c r="F92" s="97">
        <v>-0.04</v>
      </c>
      <c r="G92" s="91">
        <f t="shared" ref="G92:G96" si="109">H92*F92</f>
        <v>-4668661.7308</v>
      </c>
      <c r="H92" s="74">
        <v>116716543.27</v>
      </c>
      <c r="I92" s="74">
        <v>59563288</v>
      </c>
      <c r="J92" s="74">
        <f t="shared" ref="J92:J96" si="110">H92-G92-I92</f>
        <v>61821917.000799999</v>
      </c>
      <c r="K92" s="13">
        <f>2036-2011</f>
        <v>25</v>
      </c>
      <c r="L92" s="32">
        <f>(1-(D92/2)*K92)*K92</f>
        <v>24.375</v>
      </c>
      <c r="M92" s="74">
        <f>J92/L92</f>
        <v>2536283.774391795</v>
      </c>
      <c r="N92" s="68">
        <f>M92/H92</f>
        <v>2.173028521350755E-2</v>
      </c>
      <c r="O92" s="32">
        <v>23.9</v>
      </c>
      <c r="P92" s="13">
        <v>2779665</v>
      </c>
      <c r="Q92" s="119">
        <f t="shared" ref="Q92:Q96" si="111">M92-P92</f>
        <v>-243381.22560820496</v>
      </c>
      <c r="S92" s="13">
        <v>2836862</v>
      </c>
      <c r="T92" s="13">
        <f t="shared" ref="T92:T96" si="112">M92-S92</f>
        <v>-300578.22560820496</v>
      </c>
      <c r="W92" s="124">
        <v>0.4200275</v>
      </c>
      <c r="Y92" s="79">
        <f t="shared" ref="Y92:Y96" si="113">M92*W92</f>
        <v>1065308.9330483496</v>
      </c>
      <c r="Z92" s="79">
        <f t="shared" ref="Z92:Z96" si="114">P92*W92</f>
        <v>1167535.7407875</v>
      </c>
      <c r="AA92" s="79">
        <f t="shared" ref="AA92:AA96" si="115">Q92*W92</f>
        <v>-102226.8077391503</v>
      </c>
      <c r="AB92" s="79">
        <f t="shared" ref="AB92:AB96" si="116">S92*W92</f>
        <v>1191560.0537050001</v>
      </c>
      <c r="AC92" s="79">
        <f t="shared" ref="AC92:AC96" si="117">T92*W92</f>
        <v>-126251.12065665031</v>
      </c>
    </row>
    <row r="93" spans="1:29">
      <c r="A93" s="14">
        <v>312</v>
      </c>
      <c r="B93" s="15" t="s">
        <v>11</v>
      </c>
      <c r="C93" s="138">
        <v>50040</v>
      </c>
      <c r="D93" s="102">
        <v>4.4999999999999997E-3</v>
      </c>
      <c r="E93" s="152">
        <v>4.0000000000000001E-3</v>
      </c>
      <c r="F93" s="97">
        <v>-0.04</v>
      </c>
      <c r="G93" s="91">
        <f t="shared" si="109"/>
        <v>-21084757.446800001</v>
      </c>
      <c r="H93" s="74">
        <v>527118936.17000002</v>
      </c>
      <c r="I93" s="74">
        <v>124574585</v>
      </c>
      <c r="J93" s="74">
        <f t="shared" si="110"/>
        <v>423629108.61680007</v>
      </c>
      <c r="K93" s="13">
        <f t="shared" ref="K93:K96" si="118">2036-2011</f>
        <v>25</v>
      </c>
      <c r="L93" s="32">
        <f>(1-(D93/2)*K93)*K93</f>
        <v>23.59375</v>
      </c>
      <c r="M93" s="74">
        <f>J93/L93</f>
        <v>17955141.027467024</v>
      </c>
      <c r="N93" s="68">
        <f>M93/H93</f>
        <v>3.4062788861139205E-2</v>
      </c>
      <c r="O93" s="32">
        <v>23</v>
      </c>
      <c r="P93" s="13">
        <v>18861855</v>
      </c>
      <c r="Q93" s="119">
        <f t="shared" si="111"/>
        <v>-906713.97253297642</v>
      </c>
      <c r="S93" s="13">
        <v>19882251</v>
      </c>
      <c r="T93" s="13">
        <f t="shared" si="112"/>
        <v>-1927109.9725329764</v>
      </c>
      <c r="W93" s="124">
        <v>0.4200275</v>
      </c>
      <c r="Y93" s="79">
        <f t="shared" si="113"/>
        <v>7541652.9979144055</v>
      </c>
      <c r="Z93" s="79">
        <f t="shared" si="114"/>
        <v>7922497.8010125002</v>
      </c>
      <c r="AA93" s="79">
        <f t="shared" si="115"/>
        <v>-380844.80309809477</v>
      </c>
      <c r="AB93" s="79">
        <f t="shared" si="116"/>
        <v>8351092.1819024999</v>
      </c>
      <c r="AC93" s="79">
        <f t="shared" si="117"/>
        <v>-809439.1839880948</v>
      </c>
    </row>
    <row r="94" spans="1:29">
      <c r="A94" s="14">
        <v>314</v>
      </c>
      <c r="B94" s="15" t="s">
        <v>12</v>
      </c>
      <c r="C94" s="138">
        <v>50040</v>
      </c>
      <c r="D94" s="102">
        <v>6.0000000000000001E-3</v>
      </c>
      <c r="E94" s="152">
        <v>6.0000000000000001E-3</v>
      </c>
      <c r="F94" s="97">
        <v>-0.04</v>
      </c>
      <c r="G94" s="91">
        <f t="shared" si="109"/>
        <v>-4914703.7300000004</v>
      </c>
      <c r="H94" s="74">
        <v>122867593.25</v>
      </c>
      <c r="I94" s="74">
        <v>39389991</v>
      </c>
      <c r="J94" s="74">
        <f t="shared" si="110"/>
        <v>88392305.980000004</v>
      </c>
      <c r="K94" s="13">
        <f t="shared" si="118"/>
        <v>25</v>
      </c>
      <c r="L94" s="32">
        <f>(1-(D94/2)*K94)*K94</f>
        <v>23.125</v>
      </c>
      <c r="M94" s="74">
        <f>J94/L94</f>
        <v>3822369.9883243246</v>
      </c>
      <c r="N94" s="68">
        <f>M94/H94</f>
        <v>3.1109667628525184E-2</v>
      </c>
      <c r="O94" s="32">
        <v>22.2</v>
      </c>
      <c r="P94" s="13">
        <v>4211059</v>
      </c>
      <c r="Q94" s="119">
        <f t="shared" si="111"/>
        <v>-388689.0116756754</v>
      </c>
      <c r="S94" s="13">
        <v>4277694</v>
      </c>
      <c r="T94" s="13">
        <f t="shared" si="112"/>
        <v>-455324.0116756754</v>
      </c>
      <c r="W94" s="124">
        <v>0.4200275</v>
      </c>
      <c r="Y94" s="79">
        <f t="shared" si="113"/>
        <v>1605500.5102708952</v>
      </c>
      <c r="Z94" s="79">
        <f t="shared" si="114"/>
        <v>1768760.5841224999</v>
      </c>
      <c r="AA94" s="79">
        <f t="shared" si="115"/>
        <v>-163260.07385160474</v>
      </c>
      <c r="AB94" s="79">
        <f t="shared" si="116"/>
        <v>1796749.116585</v>
      </c>
      <c r="AC94" s="79">
        <f t="shared" si="117"/>
        <v>-191248.60631410475</v>
      </c>
    </row>
    <row r="95" spans="1:29">
      <c r="A95" s="14">
        <v>315</v>
      </c>
      <c r="B95" s="15" t="s">
        <v>13</v>
      </c>
      <c r="C95" s="138">
        <v>50040</v>
      </c>
      <c r="D95" s="102">
        <v>1.5E-3</v>
      </c>
      <c r="E95" s="152">
        <v>1.5E-3</v>
      </c>
      <c r="F95" s="97">
        <v>-0.04</v>
      </c>
      <c r="G95" s="91">
        <f t="shared" si="109"/>
        <v>-1856854.7531999999</v>
      </c>
      <c r="H95" s="74">
        <v>46421368.829999998</v>
      </c>
      <c r="I95" s="74">
        <v>19034731</v>
      </c>
      <c r="J95" s="74">
        <f t="shared" si="110"/>
        <v>29243492.5832</v>
      </c>
      <c r="K95" s="13">
        <f t="shared" si="118"/>
        <v>25</v>
      </c>
      <c r="L95" s="32">
        <f>(1-(D95/2)*K95)*K95</f>
        <v>24.53125</v>
      </c>
      <c r="M95" s="74">
        <f>J95/L95</f>
        <v>1192091.4174043313</v>
      </c>
      <c r="N95" s="68">
        <f>M95/H95</f>
        <v>2.5679798925574496E-2</v>
      </c>
      <c r="O95" s="32">
        <v>23.9</v>
      </c>
      <c r="P95" s="13">
        <v>1260444</v>
      </c>
      <c r="Q95" s="119">
        <f t="shared" si="111"/>
        <v>-68352.582595668733</v>
      </c>
      <c r="S95" s="13">
        <v>1294185</v>
      </c>
      <c r="T95" s="13">
        <f t="shared" si="112"/>
        <v>-102093.58259566873</v>
      </c>
      <c r="W95" s="124">
        <v>0.4200275</v>
      </c>
      <c r="Y95" s="79">
        <f t="shared" si="113"/>
        <v>500711.17782379774</v>
      </c>
      <c r="Z95" s="79">
        <f t="shared" si="114"/>
        <v>529421.14220999996</v>
      </c>
      <c r="AA95" s="79">
        <f t="shared" si="115"/>
        <v>-28709.964386202249</v>
      </c>
      <c r="AB95" s="79">
        <f t="shared" si="116"/>
        <v>543593.29008750001</v>
      </c>
      <c r="AC95" s="79">
        <f t="shared" si="117"/>
        <v>-42882.112263702249</v>
      </c>
    </row>
    <row r="96" spans="1:29">
      <c r="A96" s="14">
        <v>316</v>
      </c>
      <c r="B96" s="15" t="s">
        <v>378</v>
      </c>
      <c r="C96" s="138">
        <v>50040</v>
      </c>
      <c r="D96" s="102">
        <v>1.6E-2</v>
      </c>
      <c r="E96" s="152">
        <v>1.4999999999999999E-2</v>
      </c>
      <c r="F96" s="97">
        <v>-0.05</v>
      </c>
      <c r="G96" s="91">
        <f t="shared" si="109"/>
        <v>-135897.97050000002</v>
      </c>
      <c r="H96" s="74">
        <v>2717959.41</v>
      </c>
      <c r="I96" s="74">
        <v>821110</v>
      </c>
      <c r="J96" s="74">
        <f t="shared" si="110"/>
        <v>2032747.3805</v>
      </c>
      <c r="K96" s="13">
        <f t="shared" si="118"/>
        <v>25</v>
      </c>
      <c r="L96" s="32">
        <f>(1-(D96/2)*K96)*K96</f>
        <v>20</v>
      </c>
      <c r="M96" s="74">
        <f>J96/L96</f>
        <v>101637.36902499999</v>
      </c>
      <c r="N96" s="88">
        <f>M96/H96</f>
        <v>3.7394733950423489E-2</v>
      </c>
      <c r="O96" s="32">
        <v>20.100000000000001</v>
      </c>
      <c r="P96" s="13">
        <v>103839</v>
      </c>
      <c r="Q96" s="119">
        <f t="shared" si="111"/>
        <v>-2201.6309750000073</v>
      </c>
      <c r="S96" s="13">
        <v>104547</v>
      </c>
      <c r="T96" s="13">
        <f t="shared" si="112"/>
        <v>-2909.6309750000073</v>
      </c>
      <c r="W96" s="124">
        <v>0.4200275</v>
      </c>
      <c r="Y96" s="79">
        <f t="shared" si="113"/>
        <v>42690.490018148186</v>
      </c>
      <c r="Z96" s="79">
        <f t="shared" si="114"/>
        <v>43615.235572500002</v>
      </c>
      <c r="AA96" s="79">
        <f t="shared" si="115"/>
        <v>-924.7455543518156</v>
      </c>
      <c r="AB96" s="79">
        <f t="shared" si="116"/>
        <v>43912.615042500001</v>
      </c>
      <c r="AC96" s="79">
        <f t="shared" si="117"/>
        <v>-1222.1250243518155</v>
      </c>
    </row>
    <row r="97" spans="1:29">
      <c r="A97" s="14"/>
      <c r="B97" s="33" t="s">
        <v>272</v>
      </c>
      <c r="C97" s="23"/>
      <c r="D97" s="102"/>
      <c r="E97" s="152"/>
      <c r="F97" s="96"/>
      <c r="G97" s="72"/>
      <c r="H97" s="75">
        <f>+SUBTOTAL(9,H91:H96)</f>
        <v>815842400.93000007</v>
      </c>
      <c r="I97" s="75">
        <f>+SUBTOTAL(9,I91:I96)</f>
        <v>243383705</v>
      </c>
      <c r="J97" s="75">
        <f>+SUBTOTAL(9,J91:J96)</f>
        <v>605119571.56130004</v>
      </c>
      <c r="K97" s="13"/>
      <c r="L97" s="13"/>
      <c r="M97" s="75">
        <f>+SUBTOTAL(9,M91:M96)</f>
        <v>25607523.576612476</v>
      </c>
      <c r="N97" s="27">
        <f>+ROUND(M97/H97*100,2)</f>
        <v>3.14</v>
      </c>
      <c r="O97" s="31"/>
      <c r="P97" s="103">
        <f>+SUBTOTAL(9,P91:P96)</f>
        <v>27216862</v>
      </c>
      <c r="Q97" s="120">
        <f>+SUBTOTAL(9,Q91:Q96)</f>
        <v>-1609338.4233875256</v>
      </c>
      <c r="S97" s="103">
        <f>+SUBTOTAL(9,S91:S96)</f>
        <v>28395539</v>
      </c>
      <c r="T97" s="103">
        <f>+SUBTOTAL(9,T91:T96)</f>
        <v>-2788015.4233875256</v>
      </c>
      <c r="Y97" s="75">
        <f t="shared" ref="Y97:AC97" si="119">+SUBTOTAL(9,Y91:Y96)</f>
        <v>10755864.109075595</v>
      </c>
      <c r="Z97" s="75">
        <f t="shared" si="119"/>
        <v>11431830.503704999</v>
      </c>
      <c r="AA97" s="75">
        <f t="shared" si="119"/>
        <v>-675966.39462940395</v>
      </c>
      <c r="AB97" s="75">
        <f t="shared" si="119"/>
        <v>11926907.2573225</v>
      </c>
      <c r="AC97" s="75">
        <f t="shared" si="119"/>
        <v>-1171043.1482469039</v>
      </c>
    </row>
    <row r="98" spans="1:29">
      <c r="A98" s="14"/>
      <c r="B98" s="15"/>
      <c r="C98" s="43"/>
      <c r="E98" s="153"/>
      <c r="F98" s="96"/>
      <c r="G98" s="72"/>
      <c r="I98" s="73"/>
      <c r="J98" s="73"/>
      <c r="K98" s="19"/>
      <c r="L98" s="19"/>
      <c r="M98" s="73"/>
      <c r="N98" s="27"/>
      <c r="O98" s="31"/>
      <c r="P98" s="19"/>
      <c r="S98" s="19"/>
      <c r="T98" s="19"/>
    </row>
    <row r="99" spans="1:29">
      <c r="A99" s="14"/>
      <c r="B99" s="22" t="s">
        <v>79</v>
      </c>
      <c r="C99" s="43"/>
      <c r="E99" s="153"/>
      <c r="F99" s="96"/>
      <c r="G99" s="72"/>
      <c r="I99" s="73"/>
      <c r="J99" s="73"/>
      <c r="K99" s="19"/>
      <c r="L99" s="19"/>
      <c r="M99" s="73"/>
      <c r="N99" s="27"/>
      <c r="O99" s="31"/>
      <c r="P99" s="19"/>
      <c r="S99" s="19"/>
      <c r="T99" s="19"/>
    </row>
    <row r="100" spans="1:29">
      <c r="A100" s="14">
        <v>311</v>
      </c>
      <c r="B100" s="15" t="s">
        <v>162</v>
      </c>
      <c r="C100" s="138">
        <v>42735</v>
      </c>
      <c r="D100" s="102">
        <v>2E-3</v>
      </c>
      <c r="E100" s="152">
        <v>2E-3</v>
      </c>
      <c r="F100" s="97">
        <v>-0.01</v>
      </c>
      <c r="G100" s="91">
        <f t="shared" ref="G100:G103" si="120">H100*F100</f>
        <v>-57337.341399999998</v>
      </c>
      <c r="H100" s="74">
        <v>5733734.1399999997</v>
      </c>
      <c r="I100" s="74">
        <v>4411588</v>
      </c>
      <c r="J100" s="74">
        <f t="shared" ref="J100:J103" si="121">H100-G100-I100</f>
        <v>1379483.4813999999</v>
      </c>
      <c r="K100" s="13">
        <f>2016-2011</f>
        <v>5</v>
      </c>
      <c r="L100" s="32">
        <f>(1-(D100/2)*K100)*K100</f>
        <v>4.9749999999999996</v>
      </c>
      <c r="M100" s="74">
        <f>J100/L100</f>
        <v>277283.111839196</v>
      </c>
      <c r="N100" s="68">
        <f>M100/H100</f>
        <v>4.8359952706003219E-2</v>
      </c>
      <c r="O100" s="32">
        <v>5</v>
      </c>
      <c r="P100" s="13">
        <v>277005</v>
      </c>
      <c r="Q100" s="119">
        <f t="shared" ref="Q100:Q103" si="122">M100-P100</f>
        <v>278.11183919600444</v>
      </c>
      <c r="S100" s="13">
        <v>265193</v>
      </c>
      <c r="T100" s="13">
        <f t="shared" ref="T100:T103" si="123">M100-S100</f>
        <v>12090.111839196004</v>
      </c>
      <c r="W100" s="124">
        <v>0.4200275</v>
      </c>
      <c r="Y100" s="79">
        <f t="shared" ref="Y100:Y103" si="124">M100*W100</f>
        <v>116466.5322580379</v>
      </c>
      <c r="Z100" s="79">
        <f t="shared" ref="Z100:Z103" si="125">P100*W100</f>
        <v>116349.7176375</v>
      </c>
      <c r="AA100" s="79">
        <f t="shared" ref="AA100:AA103" si="126">Q100*W100</f>
        <v>116.81462053789976</v>
      </c>
      <c r="AB100" s="79">
        <f t="shared" ref="AB100:AB103" si="127">S100*W100</f>
        <v>111388.35280750001</v>
      </c>
      <c r="AC100" s="79">
        <f t="shared" ref="AC100:AC103" si="128">T100*W100</f>
        <v>5078.1794505378994</v>
      </c>
    </row>
    <row r="101" spans="1:29">
      <c r="A101" s="14">
        <v>312</v>
      </c>
      <c r="B101" s="15" t="s">
        <v>11</v>
      </c>
      <c r="C101" s="138">
        <v>42735</v>
      </c>
      <c r="D101" s="102">
        <v>4.4999999999999997E-3</v>
      </c>
      <c r="E101" s="152">
        <v>4.0000000000000001E-3</v>
      </c>
      <c r="F101" s="97">
        <v>-0.01</v>
      </c>
      <c r="G101" s="91">
        <f t="shared" si="120"/>
        <v>-57980.923600000002</v>
      </c>
      <c r="H101" s="74">
        <v>5798092.3600000003</v>
      </c>
      <c r="I101" s="74">
        <v>4457732</v>
      </c>
      <c r="J101" s="74">
        <f t="shared" si="121"/>
        <v>1398341.2836000007</v>
      </c>
      <c r="K101" s="13">
        <f t="shared" ref="K101:K103" si="129">2016-2011</f>
        <v>5</v>
      </c>
      <c r="L101" s="32">
        <f>(1-(D101/2)*K101)*K101</f>
        <v>4.9437499999999996</v>
      </c>
      <c r="M101" s="74">
        <f>J101/L101</f>
        <v>282850.3228520861</v>
      </c>
      <c r="N101" s="68">
        <f>M101/H101</f>
        <v>4.8783342052882733E-2</v>
      </c>
      <c r="O101" s="32">
        <v>4.9000000000000004</v>
      </c>
      <c r="P101" s="13">
        <v>284795</v>
      </c>
      <c r="Q101" s="119">
        <f t="shared" si="122"/>
        <v>-1944.6771479138988</v>
      </c>
      <c r="S101" s="13">
        <v>270596</v>
      </c>
      <c r="T101" s="13">
        <f t="shared" si="123"/>
        <v>12254.322852086101</v>
      </c>
      <c r="W101" s="124">
        <v>0.4200275</v>
      </c>
      <c r="Y101" s="79">
        <f t="shared" si="124"/>
        <v>118804.91398175459</v>
      </c>
      <c r="Z101" s="79">
        <f t="shared" si="125"/>
        <v>119621.7318625</v>
      </c>
      <c r="AA101" s="79">
        <f t="shared" si="126"/>
        <v>-816.81788074540509</v>
      </c>
      <c r="AB101" s="79">
        <f t="shared" si="127"/>
        <v>113657.76139</v>
      </c>
      <c r="AC101" s="79">
        <f t="shared" si="128"/>
        <v>5147.1525917545951</v>
      </c>
    </row>
    <row r="102" spans="1:29">
      <c r="A102" s="14">
        <v>314</v>
      </c>
      <c r="B102" s="15" t="s">
        <v>12</v>
      </c>
      <c r="C102" s="138">
        <v>42735</v>
      </c>
      <c r="D102" s="102">
        <v>6.0000000000000001E-3</v>
      </c>
      <c r="E102" s="152">
        <v>6.0000000000000001E-3</v>
      </c>
      <c r="F102" s="97">
        <v>-0.01</v>
      </c>
      <c r="G102" s="91">
        <f t="shared" si="120"/>
        <v>-186164.37710000001</v>
      </c>
      <c r="H102" s="74">
        <v>18616437.710000001</v>
      </c>
      <c r="I102" s="74">
        <v>14291857</v>
      </c>
      <c r="J102" s="74">
        <f t="shared" si="121"/>
        <v>4510745.0870999992</v>
      </c>
      <c r="K102" s="13">
        <f t="shared" si="129"/>
        <v>5</v>
      </c>
      <c r="L102" s="32">
        <f>(1-(D102/2)*K102)*K102</f>
        <v>4.9249999999999998</v>
      </c>
      <c r="M102" s="74">
        <f>J102/L102</f>
        <v>915887.32732994913</v>
      </c>
      <c r="N102" s="68">
        <f>M102/H102</f>
        <v>4.9197775729025284E-2</v>
      </c>
      <c r="O102" s="32">
        <v>4.9000000000000004</v>
      </c>
      <c r="P102" s="13">
        <v>922355</v>
      </c>
      <c r="Q102" s="119">
        <f t="shared" si="122"/>
        <v>-6467.6726700508734</v>
      </c>
      <c r="S102" s="13">
        <v>871330</v>
      </c>
      <c r="T102" s="13">
        <f t="shared" si="123"/>
        <v>44557.327329949127</v>
      </c>
      <c r="W102" s="124">
        <v>0.4200275</v>
      </c>
      <c r="Y102" s="79">
        <f t="shared" si="124"/>
        <v>384697.86438008019</v>
      </c>
      <c r="Z102" s="79">
        <f t="shared" si="125"/>
        <v>387414.46476250002</v>
      </c>
      <c r="AA102" s="79">
        <f t="shared" si="126"/>
        <v>-2716.6003824197933</v>
      </c>
      <c r="AB102" s="79">
        <f t="shared" si="127"/>
        <v>365982.561575</v>
      </c>
      <c r="AC102" s="79">
        <f t="shared" si="128"/>
        <v>18715.302805080206</v>
      </c>
    </row>
    <row r="103" spans="1:29">
      <c r="A103" s="14">
        <v>315</v>
      </c>
      <c r="B103" s="15" t="s">
        <v>13</v>
      </c>
      <c r="C103" s="138">
        <v>42735</v>
      </c>
      <c r="D103" s="102">
        <v>1.5E-3</v>
      </c>
      <c r="E103" s="152">
        <v>1.5E-3</v>
      </c>
      <c r="F103" s="97">
        <v>-0.01</v>
      </c>
      <c r="G103" s="91">
        <f t="shared" si="120"/>
        <v>-43022.757699999995</v>
      </c>
      <c r="H103" s="74">
        <v>4302275.7699999996</v>
      </c>
      <c r="I103" s="74">
        <v>3297379</v>
      </c>
      <c r="J103" s="74">
        <f t="shared" si="121"/>
        <v>1047919.5276999995</v>
      </c>
      <c r="K103" s="13">
        <f t="shared" si="129"/>
        <v>5</v>
      </c>
      <c r="L103" s="32">
        <f>(1-(D103/2)*K103)*K103</f>
        <v>4.9812500000000002</v>
      </c>
      <c r="M103" s="74">
        <f>J103/L103</f>
        <v>210372.80355332486</v>
      </c>
      <c r="N103" s="88">
        <f>M103/H103</f>
        <v>4.8898028578331899E-2</v>
      </c>
      <c r="O103" s="32">
        <v>5</v>
      </c>
      <c r="P103" s="13">
        <v>210411</v>
      </c>
      <c r="Q103" s="119">
        <f t="shared" si="122"/>
        <v>-38.19644667513785</v>
      </c>
      <c r="S103" s="13">
        <v>201543</v>
      </c>
      <c r="T103" s="13">
        <f t="shared" si="123"/>
        <v>8829.8035533248622</v>
      </c>
      <c r="W103" s="124">
        <v>0.4200275</v>
      </c>
      <c r="Y103" s="79">
        <f t="shared" si="124"/>
        <v>88362.362744494152</v>
      </c>
      <c r="Z103" s="79">
        <f t="shared" si="125"/>
        <v>88378.406302500007</v>
      </c>
      <c r="AA103" s="79">
        <f t="shared" si="126"/>
        <v>-16.043558005841462</v>
      </c>
      <c r="AB103" s="79">
        <f t="shared" si="127"/>
        <v>84653.602432500003</v>
      </c>
      <c r="AC103" s="79">
        <f t="shared" si="128"/>
        <v>3708.7603119941587</v>
      </c>
    </row>
    <row r="104" spans="1:29">
      <c r="A104" s="14"/>
      <c r="B104" s="33" t="s">
        <v>271</v>
      </c>
      <c r="C104" s="23"/>
      <c r="D104" s="102"/>
      <c r="E104" s="152"/>
      <c r="F104" s="96"/>
      <c r="G104" s="72"/>
      <c r="H104" s="75">
        <f>+SUBTOTAL(9,H98:H103)</f>
        <v>34450539.980000004</v>
      </c>
      <c r="I104" s="75">
        <f>+SUBTOTAL(9,I98:I103)</f>
        <v>26458556</v>
      </c>
      <c r="J104" s="75">
        <f>+SUBTOTAL(9,J98:J103)</f>
        <v>8336489.3797999993</v>
      </c>
      <c r="K104" s="13"/>
      <c r="L104" s="13"/>
      <c r="M104" s="75">
        <f>+SUBTOTAL(9,M98:M103)</f>
        <v>1686393.5655745561</v>
      </c>
      <c r="N104" s="27">
        <f>+ROUND(M104/H104*100,2)</f>
        <v>4.9000000000000004</v>
      </c>
      <c r="O104" s="31"/>
      <c r="P104" s="103">
        <f>+SUBTOTAL(9,P98:P103)</f>
        <v>1694566</v>
      </c>
      <c r="Q104" s="120">
        <f>+SUBTOTAL(9,Q98:Q103)</f>
        <v>-8172.4344254439056</v>
      </c>
      <c r="S104" s="103">
        <f>+SUBTOTAL(9,S98:S103)</f>
        <v>1608662</v>
      </c>
      <c r="T104" s="103">
        <f>+SUBTOTAL(9,T98:T103)</f>
        <v>77731.565574556094</v>
      </c>
      <c r="Y104" s="75">
        <f t="shared" ref="Y104:AC104" si="130">+SUBTOTAL(9,Y98:Y103)</f>
        <v>708331.67336436687</v>
      </c>
      <c r="Z104" s="75">
        <f t="shared" si="130"/>
        <v>711764.32056500006</v>
      </c>
      <c r="AA104" s="75">
        <f t="shared" si="130"/>
        <v>-3432.6472006331401</v>
      </c>
      <c r="AB104" s="75">
        <f t="shared" si="130"/>
        <v>675682.27820499998</v>
      </c>
      <c r="AC104" s="75">
        <f t="shared" si="130"/>
        <v>32649.395159366861</v>
      </c>
    </row>
    <row r="105" spans="1:29">
      <c r="A105" s="14"/>
      <c r="B105" s="15"/>
      <c r="C105" s="43"/>
      <c r="D105" s="102"/>
      <c r="E105" s="152"/>
      <c r="F105" s="96"/>
      <c r="G105" s="72"/>
      <c r="I105" s="73"/>
      <c r="J105" s="73"/>
      <c r="K105" s="19"/>
      <c r="L105" s="19"/>
      <c r="M105" s="73"/>
      <c r="N105" s="27"/>
      <c r="O105" s="31"/>
      <c r="P105" s="19"/>
      <c r="S105" s="19"/>
      <c r="T105" s="19"/>
    </row>
    <row r="106" spans="1:29">
      <c r="A106" s="14"/>
      <c r="B106" s="22" t="s">
        <v>80</v>
      </c>
      <c r="C106" s="43"/>
      <c r="E106" s="153"/>
      <c r="F106" s="96"/>
      <c r="G106" s="72"/>
      <c r="I106" s="73"/>
      <c r="J106" s="73"/>
      <c r="K106" s="19"/>
      <c r="L106" s="19"/>
      <c r="M106" s="73"/>
      <c r="N106" s="27"/>
      <c r="O106" s="31"/>
      <c r="P106" s="19"/>
      <c r="S106" s="19"/>
      <c r="T106" s="19"/>
    </row>
    <row r="107" spans="1:29">
      <c r="A107" s="14">
        <v>310.2</v>
      </c>
      <c r="B107" s="15" t="s">
        <v>10</v>
      </c>
      <c r="C107" s="138">
        <v>50405</v>
      </c>
      <c r="D107" s="102"/>
      <c r="E107" s="152"/>
      <c r="F107" s="97">
        <v>0</v>
      </c>
      <c r="G107" s="91">
        <f t="shared" ref="G107:G112" si="131">H107*F107</f>
        <v>0</v>
      </c>
      <c r="H107" s="74">
        <v>281111.09999999998</v>
      </c>
      <c r="I107" s="74">
        <v>177737</v>
      </c>
      <c r="J107" s="74">
        <f t="shared" ref="J107:J112" si="132">H107-G107-I107</f>
        <v>103374.09999999998</v>
      </c>
      <c r="K107" s="13">
        <f>2037-2011</f>
        <v>26</v>
      </c>
      <c r="L107" s="32">
        <f t="shared" ref="L107:L112" si="133">(1-(D107/2)*K107)*K107</f>
        <v>26</v>
      </c>
      <c r="M107" s="74">
        <f t="shared" ref="M107:M112" si="134">J107/L107</f>
        <v>3975.9269230769223</v>
      </c>
      <c r="N107" s="68">
        <f t="shared" ref="N107:N112" si="135">M107/H107</f>
        <v>1.4143614119388821E-2</v>
      </c>
      <c r="O107" s="32">
        <v>26</v>
      </c>
      <c r="P107" s="13">
        <v>3976</v>
      </c>
      <c r="Q107" s="119">
        <f t="shared" ref="Q107:Q112" si="136">M107-P107</f>
        <v>-7.3076923077678657E-2</v>
      </c>
      <c r="S107" s="13">
        <v>4014</v>
      </c>
      <c r="T107" s="13">
        <f t="shared" ref="T107:T112" si="137">M107-S107</f>
        <v>-38.073076923077679</v>
      </c>
      <c r="W107" s="124">
        <v>0.4200275</v>
      </c>
      <c r="Y107" s="79">
        <f t="shared" ref="Y107:Y112" si="138">M107*W107</f>
        <v>1669.9986456826921</v>
      </c>
      <c r="Z107" s="79">
        <f t="shared" ref="Z107:Z112" si="139">P107*W107</f>
        <v>1670.02934</v>
      </c>
      <c r="AA107" s="79">
        <f t="shared" ref="AA107:AA112" si="140">Q107*W107</f>
        <v>-3.0694317308009672E-2</v>
      </c>
      <c r="AB107" s="79">
        <f t="shared" ref="AB107:AB112" si="141">S107*W107</f>
        <v>1685.9903850000001</v>
      </c>
      <c r="AC107" s="79">
        <f t="shared" ref="AC107:AC112" si="142">T107*W107</f>
        <v>-15.99173931730801</v>
      </c>
    </row>
    <row r="108" spans="1:29">
      <c r="A108" s="14">
        <v>311</v>
      </c>
      <c r="B108" s="15" t="s">
        <v>162</v>
      </c>
      <c r="C108" s="138">
        <v>50405</v>
      </c>
      <c r="D108" s="102">
        <v>2E-3</v>
      </c>
      <c r="E108" s="152">
        <v>2E-3</v>
      </c>
      <c r="F108" s="97">
        <v>-0.05</v>
      </c>
      <c r="G108" s="91">
        <f t="shared" si="131"/>
        <v>-7012812.5280000009</v>
      </c>
      <c r="H108" s="74">
        <v>140256250.56</v>
      </c>
      <c r="I108" s="74">
        <v>87044687</v>
      </c>
      <c r="J108" s="74">
        <f t="shared" si="132"/>
        <v>60224376.088</v>
      </c>
      <c r="K108" s="13">
        <f t="shared" ref="K108:K112" si="143">2037-2011</f>
        <v>26</v>
      </c>
      <c r="L108" s="32">
        <f t="shared" si="133"/>
        <v>25.323999999999998</v>
      </c>
      <c r="M108" s="74">
        <f t="shared" si="134"/>
        <v>2378154.1655346709</v>
      </c>
      <c r="N108" s="68">
        <f t="shared" si="135"/>
        <v>1.6955780266757696E-2</v>
      </c>
      <c r="O108" s="32">
        <v>24.7</v>
      </c>
      <c r="P108" s="13">
        <v>2723000</v>
      </c>
      <c r="Q108" s="119">
        <f t="shared" si="136"/>
        <v>-344845.83446532907</v>
      </c>
      <c r="S108" s="13">
        <v>2698173</v>
      </c>
      <c r="T108" s="13">
        <f t="shared" si="137"/>
        <v>-320018.83446532907</v>
      </c>
      <c r="W108" s="124">
        <v>0.4200275</v>
      </c>
      <c r="Y108" s="79">
        <f t="shared" si="138"/>
        <v>998890.14876411401</v>
      </c>
      <c r="Z108" s="79">
        <f t="shared" si="139"/>
        <v>1143734.8825000001</v>
      </c>
      <c r="AA108" s="79">
        <f t="shared" si="140"/>
        <v>-144844.73373588599</v>
      </c>
      <c r="AB108" s="79">
        <f t="shared" si="141"/>
        <v>1133306.8597575</v>
      </c>
      <c r="AC108" s="79">
        <f t="shared" si="142"/>
        <v>-134416.71099338602</v>
      </c>
    </row>
    <row r="109" spans="1:29">
      <c r="A109" s="14">
        <v>312</v>
      </c>
      <c r="B109" s="15" t="s">
        <v>11</v>
      </c>
      <c r="C109" s="138">
        <v>50405</v>
      </c>
      <c r="D109" s="102">
        <v>4.4999999999999997E-3</v>
      </c>
      <c r="E109" s="152">
        <v>4.0000000000000001E-3</v>
      </c>
      <c r="F109" s="97">
        <v>-0.05</v>
      </c>
      <c r="G109" s="91">
        <f t="shared" si="131"/>
        <v>-33767929.482500002</v>
      </c>
      <c r="H109" s="74">
        <v>675358589.64999998</v>
      </c>
      <c r="I109" s="74">
        <v>293188983</v>
      </c>
      <c r="J109" s="74">
        <f t="shared" si="132"/>
        <v>415937536.13249993</v>
      </c>
      <c r="K109" s="13">
        <f t="shared" si="143"/>
        <v>26</v>
      </c>
      <c r="L109" s="32">
        <f t="shared" si="133"/>
        <v>24.478999999999999</v>
      </c>
      <c r="M109" s="74">
        <f t="shared" si="134"/>
        <v>16991606.52528698</v>
      </c>
      <c r="N109" s="68">
        <f t="shared" si="135"/>
        <v>2.5159384637563825E-2</v>
      </c>
      <c r="O109" s="32">
        <v>22.8</v>
      </c>
      <c r="P109" s="13">
        <v>19093129</v>
      </c>
      <c r="Q109" s="119">
        <f t="shared" si="136"/>
        <v>-2101522.47471302</v>
      </c>
      <c r="S109" s="13">
        <v>20897500</v>
      </c>
      <c r="T109" s="13">
        <f t="shared" si="137"/>
        <v>-3905893.47471302</v>
      </c>
      <c r="W109" s="124">
        <v>0.4200275</v>
      </c>
      <c r="Y109" s="79">
        <f t="shared" si="138"/>
        <v>7136942.0097999768</v>
      </c>
      <c r="Z109" s="79">
        <f t="shared" si="139"/>
        <v>8019639.2410474997</v>
      </c>
      <c r="AA109" s="79">
        <f t="shared" si="140"/>
        <v>-882697.23124752298</v>
      </c>
      <c r="AB109" s="79">
        <f t="shared" si="141"/>
        <v>8777524.6812500004</v>
      </c>
      <c r="AC109" s="79">
        <f t="shared" si="142"/>
        <v>-1640582.6714500231</v>
      </c>
    </row>
    <row r="110" spans="1:29">
      <c r="A110" s="14">
        <v>314</v>
      </c>
      <c r="B110" s="15" t="s">
        <v>12</v>
      </c>
      <c r="C110" s="138">
        <v>50405</v>
      </c>
      <c r="D110" s="102">
        <v>6.0000000000000001E-3</v>
      </c>
      <c r="E110" s="152">
        <v>6.0000000000000001E-3</v>
      </c>
      <c r="F110" s="97">
        <v>-0.05</v>
      </c>
      <c r="G110" s="91">
        <f t="shared" si="131"/>
        <v>-8762493.2970000003</v>
      </c>
      <c r="H110" s="74">
        <v>175249865.94</v>
      </c>
      <c r="I110" s="74">
        <v>69160935</v>
      </c>
      <c r="J110" s="74">
        <f t="shared" si="132"/>
        <v>114851424.23699999</v>
      </c>
      <c r="K110" s="13">
        <f t="shared" si="143"/>
        <v>26</v>
      </c>
      <c r="L110" s="32">
        <f t="shared" si="133"/>
        <v>23.972000000000001</v>
      </c>
      <c r="M110" s="74">
        <f t="shared" si="134"/>
        <v>4791065.5863924567</v>
      </c>
      <c r="N110" s="68">
        <f t="shared" si="135"/>
        <v>2.7338483602793544E-2</v>
      </c>
      <c r="O110" s="32">
        <v>22.7</v>
      </c>
      <c r="P110" s="13">
        <v>5453128</v>
      </c>
      <c r="Q110" s="119">
        <f t="shared" si="136"/>
        <v>-662062.41360754333</v>
      </c>
      <c r="S110" s="13">
        <v>7322037</v>
      </c>
      <c r="T110" s="13">
        <f t="shared" si="137"/>
        <v>-2530971.4136075433</v>
      </c>
      <c r="W110" s="124">
        <v>0.4200275</v>
      </c>
      <c r="Y110" s="79">
        <f t="shared" si="138"/>
        <v>2012379.3005884576</v>
      </c>
      <c r="Z110" s="79">
        <f t="shared" si="139"/>
        <v>2290463.7210200001</v>
      </c>
      <c r="AA110" s="79">
        <f t="shared" si="140"/>
        <v>-278084.42043154238</v>
      </c>
      <c r="AB110" s="79">
        <f t="shared" si="141"/>
        <v>3075456.8960175002</v>
      </c>
      <c r="AC110" s="79">
        <f t="shared" si="142"/>
        <v>-1063077.5954290424</v>
      </c>
    </row>
    <row r="111" spans="1:29">
      <c r="A111" s="14">
        <v>315</v>
      </c>
      <c r="B111" s="15" t="s">
        <v>13</v>
      </c>
      <c r="C111" s="138">
        <v>50405</v>
      </c>
      <c r="D111" s="102">
        <v>1.5E-3</v>
      </c>
      <c r="E111" s="152">
        <v>1.5E-3</v>
      </c>
      <c r="F111" s="97">
        <v>-0.04</v>
      </c>
      <c r="G111" s="91">
        <f t="shared" si="131"/>
        <v>-2355293.8775999998</v>
      </c>
      <c r="H111" s="74">
        <v>58882346.939999998</v>
      </c>
      <c r="I111" s="74">
        <v>35406510</v>
      </c>
      <c r="J111" s="74">
        <f t="shared" si="132"/>
        <v>25831130.817599997</v>
      </c>
      <c r="K111" s="13">
        <f t="shared" si="143"/>
        <v>26</v>
      </c>
      <c r="L111" s="32">
        <f t="shared" si="133"/>
        <v>25.493000000000002</v>
      </c>
      <c r="M111" s="74">
        <f t="shared" si="134"/>
        <v>1013263.6730710389</v>
      </c>
      <c r="N111" s="68">
        <f t="shared" si="135"/>
        <v>1.7208275921874096E-2</v>
      </c>
      <c r="O111" s="32">
        <v>24.3</v>
      </c>
      <c r="P111" s="13">
        <v>1162054</v>
      </c>
      <c r="Q111" s="119">
        <f t="shared" si="136"/>
        <v>-148790.32692896109</v>
      </c>
      <c r="S111" s="13">
        <v>1153665</v>
      </c>
      <c r="T111" s="13">
        <f t="shared" si="137"/>
        <v>-140401.32692896109</v>
      </c>
      <c r="W111" s="124">
        <v>0.4200275</v>
      </c>
      <c r="Y111" s="79">
        <f t="shared" si="138"/>
        <v>425598.60744084581</v>
      </c>
      <c r="Z111" s="79">
        <f t="shared" si="139"/>
        <v>488094.63648500002</v>
      </c>
      <c r="AA111" s="79">
        <f t="shared" si="140"/>
        <v>-62496.029044154202</v>
      </c>
      <c r="AB111" s="79">
        <f t="shared" si="141"/>
        <v>484571.02578750002</v>
      </c>
      <c r="AC111" s="79">
        <f t="shared" si="142"/>
        <v>-58972.418346654202</v>
      </c>
    </row>
    <row r="112" spans="1:29">
      <c r="A112" s="14">
        <v>316</v>
      </c>
      <c r="B112" s="15" t="s">
        <v>378</v>
      </c>
      <c r="C112" s="138">
        <v>50405</v>
      </c>
      <c r="D112" s="102">
        <v>1.6E-2</v>
      </c>
      <c r="E112" s="152">
        <v>1.4999999999999999E-2</v>
      </c>
      <c r="F112" s="97">
        <v>-0.05</v>
      </c>
      <c r="G112" s="91">
        <f t="shared" si="131"/>
        <v>-186147.70900000003</v>
      </c>
      <c r="H112" s="74">
        <v>3722954.18</v>
      </c>
      <c r="I112" s="74">
        <v>1789680</v>
      </c>
      <c r="J112" s="74">
        <f t="shared" si="132"/>
        <v>2119421.8890000004</v>
      </c>
      <c r="K112" s="13">
        <f t="shared" si="143"/>
        <v>26</v>
      </c>
      <c r="L112" s="32">
        <f t="shared" si="133"/>
        <v>20.592000000000002</v>
      </c>
      <c r="M112" s="74">
        <f t="shared" si="134"/>
        <v>102924.52840909091</v>
      </c>
      <c r="N112" s="88">
        <f t="shared" si="135"/>
        <v>2.7645929397146357E-2</v>
      </c>
      <c r="O112" s="32">
        <v>19.8</v>
      </c>
      <c r="P112" s="13">
        <v>114579</v>
      </c>
      <c r="Q112" s="119">
        <f t="shared" si="136"/>
        <v>-11654.471590909088</v>
      </c>
      <c r="S112" s="13">
        <v>113117</v>
      </c>
      <c r="T112" s="13">
        <f t="shared" si="137"/>
        <v>-10192.471590909088</v>
      </c>
      <c r="W112" s="124">
        <v>0.4200275</v>
      </c>
      <c r="Y112" s="79">
        <f t="shared" si="138"/>
        <v>43231.13235634943</v>
      </c>
      <c r="Z112" s="79">
        <f t="shared" si="139"/>
        <v>48126.330922499998</v>
      </c>
      <c r="AA112" s="79">
        <f t="shared" si="140"/>
        <v>-4895.1985661505669</v>
      </c>
      <c r="AB112" s="79">
        <f t="shared" si="141"/>
        <v>47512.250717499999</v>
      </c>
      <c r="AC112" s="79">
        <f t="shared" si="142"/>
        <v>-4281.1183611505667</v>
      </c>
    </row>
    <row r="113" spans="1:29">
      <c r="A113" s="14"/>
      <c r="B113" s="33" t="s">
        <v>270</v>
      </c>
      <c r="C113" s="23"/>
      <c r="D113" s="102"/>
      <c r="E113" s="152"/>
      <c r="F113" s="96"/>
      <c r="G113" s="72"/>
      <c r="H113" s="75">
        <f>+SUBTOTAL(9,H107:H112)</f>
        <v>1053751118.37</v>
      </c>
      <c r="I113" s="75">
        <f>+SUBTOTAL(9,I107:I112)</f>
        <v>486768532</v>
      </c>
      <c r="J113" s="75">
        <f>+SUBTOTAL(9,J107:J112)</f>
        <v>619067263.26409996</v>
      </c>
      <c r="K113" s="13"/>
      <c r="L113" s="13"/>
      <c r="M113" s="75">
        <f>+SUBTOTAL(9,M107:M112)</f>
        <v>25280990.405617312</v>
      </c>
      <c r="N113" s="27">
        <f>+ROUND(M113/H113*100,2)</f>
        <v>2.4</v>
      </c>
      <c r="O113" s="31"/>
      <c r="P113" s="103">
        <f>+SUBTOTAL(9,P107:P112)</f>
        <v>28549866</v>
      </c>
      <c r="Q113" s="120">
        <f>+SUBTOTAL(9,Q107:Q112)</f>
        <v>-3268875.5943826856</v>
      </c>
      <c r="S113" s="103">
        <f>+SUBTOTAL(9,S107:S112)</f>
        <v>32188506</v>
      </c>
      <c r="T113" s="103">
        <f>+SUBTOTAL(9,T107:T112)</f>
        <v>-6907515.5943826856</v>
      </c>
      <c r="Y113" s="75">
        <f t="shared" ref="Y113:AC113" si="144">+SUBTOTAL(9,Y107:Y112)</f>
        <v>10618711.197595427</v>
      </c>
      <c r="Z113" s="75">
        <f t="shared" si="144"/>
        <v>11991728.841314998</v>
      </c>
      <c r="AA113" s="75">
        <f t="shared" si="144"/>
        <v>-1373017.6437195735</v>
      </c>
      <c r="AB113" s="75">
        <f t="shared" si="144"/>
        <v>13520057.703915</v>
      </c>
      <c r="AC113" s="75">
        <f t="shared" si="144"/>
        <v>-2901346.5063195731</v>
      </c>
    </row>
    <row r="114" spans="1:29">
      <c r="A114" s="14"/>
      <c r="B114" s="15"/>
      <c r="C114" s="43"/>
      <c r="E114" s="153"/>
      <c r="F114" s="96"/>
      <c r="G114" s="72"/>
      <c r="I114" s="73"/>
      <c r="J114" s="73"/>
      <c r="K114" s="19"/>
      <c r="L114" s="19"/>
      <c r="M114" s="73"/>
      <c r="N114" s="27"/>
      <c r="O114" s="31"/>
      <c r="P114" s="19"/>
      <c r="S114" s="19"/>
      <c r="T114" s="19"/>
    </row>
    <row r="115" spans="1:29">
      <c r="A115" s="14"/>
      <c r="B115" s="22" t="s">
        <v>81</v>
      </c>
      <c r="C115" s="43"/>
      <c r="E115" s="153"/>
      <c r="F115" s="96"/>
      <c r="G115" s="72"/>
      <c r="I115" s="73"/>
      <c r="J115" s="73"/>
      <c r="K115" s="19"/>
      <c r="L115" s="19"/>
      <c r="M115" s="73"/>
      <c r="N115" s="27"/>
      <c r="O115" s="31"/>
      <c r="P115" s="19"/>
      <c r="S115" s="19"/>
      <c r="T115" s="19"/>
    </row>
    <row r="116" spans="1:29">
      <c r="A116" s="14">
        <v>310.2</v>
      </c>
      <c r="B116" s="15" t="s">
        <v>10</v>
      </c>
      <c r="C116" s="138">
        <v>47483</v>
      </c>
      <c r="D116" s="102">
        <v>0</v>
      </c>
      <c r="E116" s="152">
        <v>0</v>
      </c>
      <c r="F116" s="97">
        <v>0</v>
      </c>
      <c r="G116" s="91">
        <f t="shared" ref="G116:G121" si="145">H116*F116</f>
        <v>0</v>
      </c>
      <c r="H116" s="74">
        <v>15015.87</v>
      </c>
      <c r="I116" s="74">
        <v>11039</v>
      </c>
      <c r="J116" s="74">
        <f t="shared" ref="J116:J121" si="146">H116-G116-I116</f>
        <v>3976.8700000000008</v>
      </c>
      <c r="K116" s="13">
        <f>2029-2011</f>
        <v>18</v>
      </c>
      <c r="L116" s="32">
        <f t="shared" ref="L116:L121" si="147">(1-(D116/2)*K116)*K116</f>
        <v>18</v>
      </c>
      <c r="M116" s="74">
        <f t="shared" ref="M116:M121" si="148">J116/L116</f>
        <v>220.93722222222226</v>
      </c>
      <c r="N116" s="68">
        <f t="shared" ref="N116:N121" si="149">M116/H116</f>
        <v>1.4713581179260492E-2</v>
      </c>
      <c r="O116" s="32">
        <v>18</v>
      </c>
      <c r="P116" s="13">
        <v>221</v>
      </c>
      <c r="Q116" s="119">
        <f t="shared" ref="Q116:Q121" si="150">M116-P116</f>
        <v>-6.277777777773963E-2</v>
      </c>
      <c r="S116" s="13">
        <v>222</v>
      </c>
      <c r="T116" s="13">
        <f t="shared" ref="T116:T121" si="151">M116-S116</f>
        <v>-1.0627777777777396</v>
      </c>
      <c r="W116" s="124">
        <v>0.4200275</v>
      </c>
      <c r="Y116" s="79">
        <f t="shared" ref="Y116:Y121" si="152">M116*W116</f>
        <v>92.799709106944462</v>
      </c>
      <c r="Z116" s="79">
        <f t="shared" ref="Z116:Z121" si="153">P116*W116</f>
        <v>92.826077499999997</v>
      </c>
      <c r="AA116" s="79">
        <f t="shared" ref="AA116:AA121" si="154">Q116*W116</f>
        <v>-2.6368393055539532E-2</v>
      </c>
      <c r="AB116" s="79">
        <f t="shared" ref="AB116:AB121" si="155">S116*W116</f>
        <v>93.246105</v>
      </c>
      <c r="AC116" s="79">
        <f t="shared" ref="AC116:AC121" si="156">T116*W116</f>
        <v>-0.44639589305553951</v>
      </c>
    </row>
    <row r="117" spans="1:29">
      <c r="A117" s="14">
        <v>311</v>
      </c>
      <c r="B117" s="15" t="s">
        <v>162</v>
      </c>
      <c r="C117" s="138">
        <v>47483</v>
      </c>
      <c r="D117" s="102">
        <v>2E-3</v>
      </c>
      <c r="E117" s="152">
        <v>2E-3</v>
      </c>
      <c r="F117" s="97">
        <v>-0.04</v>
      </c>
      <c r="G117" s="91">
        <f t="shared" si="145"/>
        <v>-2815968.8832</v>
      </c>
      <c r="H117" s="74">
        <v>70399222.079999998</v>
      </c>
      <c r="I117" s="74">
        <v>36837724</v>
      </c>
      <c r="J117" s="74">
        <f t="shared" si="146"/>
        <v>36377466.963200003</v>
      </c>
      <c r="K117" s="13">
        <f t="shared" ref="K117:K121" si="157">2029-2011</f>
        <v>18</v>
      </c>
      <c r="L117" s="32">
        <f t="shared" si="147"/>
        <v>17.675999999999998</v>
      </c>
      <c r="M117" s="74">
        <f t="shared" si="148"/>
        <v>2058014.6505544244</v>
      </c>
      <c r="N117" s="68">
        <f t="shared" si="149"/>
        <v>2.9233485679937565E-2</v>
      </c>
      <c r="O117" s="32">
        <v>17.600000000000001</v>
      </c>
      <c r="P117" s="13">
        <v>2190083</v>
      </c>
      <c r="Q117" s="119">
        <f t="shared" si="150"/>
        <v>-132068.34944557562</v>
      </c>
      <c r="S117" s="13">
        <v>4914720</v>
      </c>
      <c r="T117" s="13">
        <f t="shared" si="151"/>
        <v>-2856705.3494455758</v>
      </c>
      <c r="W117" s="124">
        <v>0.4200275</v>
      </c>
      <c r="Y117" s="79">
        <f t="shared" si="152"/>
        <v>864422.74863574852</v>
      </c>
      <c r="Z117" s="79">
        <f t="shared" si="153"/>
        <v>919895.0872825</v>
      </c>
      <c r="AA117" s="79">
        <f t="shared" si="154"/>
        <v>-55472.338646751508</v>
      </c>
      <c r="AB117" s="79">
        <f t="shared" si="155"/>
        <v>2064317.5548</v>
      </c>
      <c r="AC117" s="79">
        <f t="shared" si="156"/>
        <v>-1199894.8061642516</v>
      </c>
    </row>
    <row r="118" spans="1:29">
      <c r="A118" s="14">
        <v>312</v>
      </c>
      <c r="B118" s="15" t="s">
        <v>11</v>
      </c>
      <c r="C118" s="138">
        <v>47483</v>
      </c>
      <c r="D118" s="102">
        <v>4.4999999999999997E-3</v>
      </c>
      <c r="E118" s="152">
        <v>4.0000000000000001E-3</v>
      </c>
      <c r="F118" s="97">
        <v>-0.04</v>
      </c>
      <c r="G118" s="91">
        <f t="shared" si="145"/>
        <v>-17723613.192400001</v>
      </c>
      <c r="H118" s="74">
        <v>443090329.81</v>
      </c>
      <c r="I118" s="74">
        <v>132342952</v>
      </c>
      <c r="J118" s="74">
        <f t="shared" si="146"/>
        <v>328470991.00239998</v>
      </c>
      <c r="K118" s="13">
        <f t="shared" si="157"/>
        <v>18</v>
      </c>
      <c r="L118" s="32">
        <f t="shared" si="147"/>
        <v>17.271000000000001</v>
      </c>
      <c r="M118" s="74">
        <f t="shared" si="148"/>
        <v>19018643.448694341</v>
      </c>
      <c r="N118" s="68">
        <f t="shared" si="149"/>
        <v>4.2922722905845541E-2</v>
      </c>
      <c r="O118" s="32">
        <v>17.100000000000001</v>
      </c>
      <c r="P118" s="13">
        <v>19728165</v>
      </c>
      <c r="Q118" s="119">
        <f t="shared" si="150"/>
        <v>-709521.55130565912</v>
      </c>
      <c r="S118" s="13">
        <v>25403539</v>
      </c>
      <c r="T118" s="13">
        <f t="shared" si="151"/>
        <v>-6384895.5513056591</v>
      </c>
      <c r="W118" s="124">
        <v>0.4200275</v>
      </c>
      <c r="Y118" s="79">
        <f t="shared" si="152"/>
        <v>7988353.2611464625</v>
      </c>
      <c r="Z118" s="79">
        <f t="shared" si="153"/>
        <v>8286371.8245374998</v>
      </c>
      <c r="AA118" s="79">
        <f t="shared" si="154"/>
        <v>-298018.56339103775</v>
      </c>
      <c r="AB118" s="79">
        <f t="shared" si="155"/>
        <v>10670184.9773225</v>
      </c>
      <c r="AC118" s="79">
        <f t="shared" si="156"/>
        <v>-2681831.7161760377</v>
      </c>
    </row>
    <row r="119" spans="1:29">
      <c r="A119" s="14">
        <v>314</v>
      </c>
      <c r="B119" s="15" t="s">
        <v>12</v>
      </c>
      <c r="C119" s="138">
        <v>47483</v>
      </c>
      <c r="D119" s="102">
        <v>6.0000000000000001E-3</v>
      </c>
      <c r="E119" s="152">
        <v>6.0000000000000001E-3</v>
      </c>
      <c r="F119" s="97">
        <v>-0.04</v>
      </c>
      <c r="G119" s="91">
        <f t="shared" si="145"/>
        <v>-3055026.2851999998</v>
      </c>
      <c r="H119" s="74">
        <v>76375657.129999995</v>
      </c>
      <c r="I119" s="74">
        <v>30448941</v>
      </c>
      <c r="J119" s="74">
        <f t="shared" si="146"/>
        <v>48981742.415199995</v>
      </c>
      <c r="K119" s="13">
        <f t="shared" si="157"/>
        <v>18</v>
      </c>
      <c r="L119" s="32">
        <f t="shared" si="147"/>
        <v>17.027999999999999</v>
      </c>
      <c r="M119" s="74">
        <f t="shared" si="148"/>
        <v>2876541.1331454073</v>
      </c>
      <c r="N119" s="68">
        <f t="shared" si="149"/>
        <v>3.7663062305954495E-2</v>
      </c>
      <c r="O119" s="32">
        <v>16.7</v>
      </c>
      <c r="P119" s="13">
        <v>3075684</v>
      </c>
      <c r="Q119" s="119">
        <f t="shared" si="150"/>
        <v>-199142.86685459269</v>
      </c>
      <c r="S119" s="13">
        <v>3273322</v>
      </c>
      <c r="T119" s="13">
        <f t="shared" si="151"/>
        <v>-396780.86685459269</v>
      </c>
      <c r="W119" s="124">
        <v>0.4200275</v>
      </c>
      <c r="Y119" s="79">
        <f t="shared" si="152"/>
        <v>1208226.3808022325</v>
      </c>
      <c r="Z119" s="79">
        <f t="shared" si="153"/>
        <v>1291871.8613100001</v>
      </c>
      <c r="AA119" s="79">
        <f t="shared" si="154"/>
        <v>-83645.480507767425</v>
      </c>
      <c r="AB119" s="79">
        <f t="shared" si="155"/>
        <v>1374885.256355</v>
      </c>
      <c r="AC119" s="79">
        <f t="shared" si="156"/>
        <v>-166658.87555276742</v>
      </c>
    </row>
    <row r="120" spans="1:29">
      <c r="A120" s="14">
        <v>315</v>
      </c>
      <c r="B120" s="15" t="s">
        <v>13</v>
      </c>
      <c r="C120" s="138">
        <v>47483</v>
      </c>
      <c r="D120" s="102">
        <v>1.5E-3</v>
      </c>
      <c r="E120" s="152">
        <v>1.5E-3</v>
      </c>
      <c r="F120" s="97">
        <v>-0.04</v>
      </c>
      <c r="G120" s="91">
        <f t="shared" si="145"/>
        <v>-920270.70720000006</v>
      </c>
      <c r="H120" s="74">
        <v>23006767.68</v>
      </c>
      <c r="I120" s="74">
        <v>11920358</v>
      </c>
      <c r="J120" s="74">
        <f t="shared" si="146"/>
        <v>12006680.387199998</v>
      </c>
      <c r="K120" s="13">
        <f t="shared" si="157"/>
        <v>18</v>
      </c>
      <c r="L120" s="32">
        <f t="shared" si="147"/>
        <v>17.757000000000001</v>
      </c>
      <c r="M120" s="74">
        <f t="shared" si="148"/>
        <v>676166.04084023181</v>
      </c>
      <c r="N120" s="68">
        <f t="shared" si="149"/>
        <v>2.9389875633335026E-2</v>
      </c>
      <c r="O120" s="32">
        <v>17.5</v>
      </c>
      <c r="P120" s="13">
        <v>714096</v>
      </c>
      <c r="Q120" s="119">
        <f t="shared" si="150"/>
        <v>-37929.959159768187</v>
      </c>
      <c r="S120" s="13">
        <v>3132974</v>
      </c>
      <c r="T120" s="13">
        <f t="shared" si="151"/>
        <v>-2456807.9591597682</v>
      </c>
      <c r="W120" s="124">
        <v>0.4200275</v>
      </c>
      <c r="Y120" s="79">
        <f t="shared" si="152"/>
        <v>284008.33171902044</v>
      </c>
      <c r="Z120" s="79">
        <f t="shared" si="153"/>
        <v>299939.95763999998</v>
      </c>
      <c r="AA120" s="79">
        <f t="shared" si="154"/>
        <v>-15931.625920979532</v>
      </c>
      <c r="AB120" s="79">
        <f t="shared" si="155"/>
        <v>1315935.236785</v>
      </c>
      <c r="AC120" s="79">
        <f t="shared" si="156"/>
        <v>-1031926.9050659796</v>
      </c>
    </row>
    <row r="121" spans="1:29">
      <c r="A121" s="14">
        <v>316</v>
      </c>
      <c r="B121" s="15" t="s">
        <v>378</v>
      </c>
      <c r="C121" s="138">
        <v>47483</v>
      </c>
      <c r="D121" s="102">
        <v>1.6E-2</v>
      </c>
      <c r="E121" s="152">
        <v>1.4999999999999999E-2</v>
      </c>
      <c r="F121" s="97">
        <v>-0.04</v>
      </c>
      <c r="G121" s="91">
        <f t="shared" si="145"/>
        <v>-80455.892000000007</v>
      </c>
      <c r="H121" s="74">
        <v>2011397.3</v>
      </c>
      <c r="I121" s="74">
        <v>640479</v>
      </c>
      <c r="J121" s="74">
        <f t="shared" si="146"/>
        <v>1451374.192</v>
      </c>
      <c r="K121" s="13">
        <f t="shared" si="157"/>
        <v>18</v>
      </c>
      <c r="L121" s="32">
        <f t="shared" si="147"/>
        <v>15.407999999999999</v>
      </c>
      <c r="M121" s="74">
        <f t="shared" si="148"/>
        <v>94196.144340602288</v>
      </c>
      <c r="N121" s="88">
        <f t="shared" si="149"/>
        <v>4.6831197566290006E-2</v>
      </c>
      <c r="O121" s="32">
        <v>15.5</v>
      </c>
      <c r="P121" s="13">
        <v>97686</v>
      </c>
      <c r="Q121" s="119">
        <f t="shared" si="150"/>
        <v>-3489.8556593977119</v>
      </c>
      <c r="S121" s="13">
        <v>99790</v>
      </c>
      <c r="T121" s="13">
        <f t="shared" si="151"/>
        <v>-5593.8556593977119</v>
      </c>
      <c r="W121" s="124">
        <v>0.4200275</v>
      </c>
      <c r="Y121" s="79">
        <f t="shared" si="152"/>
        <v>39564.971017022326</v>
      </c>
      <c r="Z121" s="79">
        <f t="shared" si="153"/>
        <v>41030.806364999997</v>
      </c>
      <c r="AA121" s="79">
        <f t="shared" si="154"/>
        <v>-1465.8353479776724</v>
      </c>
      <c r="AB121" s="79">
        <f t="shared" si="155"/>
        <v>41914.544224999998</v>
      </c>
      <c r="AC121" s="79">
        <f t="shared" si="156"/>
        <v>-2349.5732079776726</v>
      </c>
    </row>
    <row r="122" spans="1:29">
      <c r="A122" s="14"/>
      <c r="B122" s="33" t="s">
        <v>269</v>
      </c>
      <c r="C122" s="23"/>
      <c r="D122" s="102"/>
      <c r="E122" s="152"/>
      <c r="F122" s="96"/>
      <c r="G122" s="72"/>
      <c r="H122" s="75">
        <f>+SUBTOTAL(9,H116:H121)</f>
        <v>614898389.86999989</v>
      </c>
      <c r="I122" s="75">
        <f>+SUBTOTAL(9,I116:I121)</f>
        <v>212201493</v>
      </c>
      <c r="J122" s="75">
        <f>+SUBTOTAL(9,J116:J121)</f>
        <v>427292231.82999992</v>
      </c>
      <c r="K122" s="13"/>
      <c r="L122" s="13"/>
      <c r="M122" s="75">
        <f>+SUBTOTAL(9,M116:M121)</f>
        <v>24723782.354797225</v>
      </c>
      <c r="N122" s="27">
        <f>+ROUND(M122/H122*100,2)</f>
        <v>4.0199999999999996</v>
      </c>
      <c r="O122" s="31"/>
      <c r="P122" s="103">
        <f>+SUBTOTAL(9,P116:P121)</f>
        <v>25805935</v>
      </c>
      <c r="Q122" s="120">
        <f>+SUBTOTAL(9,Q116:Q121)</f>
        <v>-1082152.6452027713</v>
      </c>
      <c r="S122" s="103">
        <f>+SUBTOTAL(9,S116:S121)</f>
        <v>36824567</v>
      </c>
      <c r="T122" s="103">
        <f>+SUBTOTAL(9,T116:T121)</f>
        <v>-12100784.645202773</v>
      </c>
      <c r="Y122" s="75">
        <f t="shared" ref="Y122:AC122" si="158">+SUBTOTAL(9,Y116:Y121)</f>
        <v>10384668.493029593</v>
      </c>
      <c r="Z122" s="75">
        <f t="shared" si="158"/>
        <v>10839202.3632125</v>
      </c>
      <c r="AA122" s="75">
        <f t="shared" si="158"/>
        <v>-454533.87018290698</v>
      </c>
      <c r="AB122" s="75">
        <f t="shared" si="158"/>
        <v>15467330.815592501</v>
      </c>
      <c r="AC122" s="75">
        <f t="shared" si="158"/>
        <v>-5082662.3225629069</v>
      </c>
    </row>
    <row r="123" spans="1:29">
      <c r="A123" s="14"/>
      <c r="B123" s="17"/>
      <c r="C123" s="23"/>
      <c r="D123" s="102"/>
      <c r="E123" s="152"/>
      <c r="F123" s="96"/>
      <c r="G123" s="72"/>
      <c r="H123" s="74"/>
      <c r="I123" s="74"/>
      <c r="J123" s="74"/>
      <c r="K123" s="13"/>
      <c r="L123" s="13"/>
      <c r="M123" s="74"/>
      <c r="N123" s="27"/>
      <c r="O123" s="31"/>
      <c r="P123" s="13"/>
      <c r="S123" s="13"/>
      <c r="T123" s="13"/>
    </row>
    <row r="124" spans="1:29">
      <c r="A124" s="14"/>
      <c r="B124" s="22" t="s">
        <v>82</v>
      </c>
      <c r="C124" s="23"/>
      <c r="D124" s="102"/>
      <c r="E124" s="152"/>
      <c r="F124" s="96"/>
      <c r="G124" s="72"/>
      <c r="H124" s="74"/>
      <c r="I124" s="74"/>
      <c r="J124" s="74"/>
      <c r="K124" s="13"/>
      <c r="L124" s="13"/>
      <c r="M124" s="74"/>
      <c r="N124" s="27"/>
      <c r="O124" s="31"/>
      <c r="P124" s="13"/>
      <c r="S124" s="13"/>
      <c r="T124" s="13"/>
    </row>
    <row r="125" spans="1:29">
      <c r="A125" s="14">
        <v>310.2</v>
      </c>
      <c r="B125" s="15" t="s">
        <v>10</v>
      </c>
      <c r="C125" s="138">
        <v>51135</v>
      </c>
      <c r="D125" s="102">
        <v>0</v>
      </c>
      <c r="E125" s="152">
        <v>0</v>
      </c>
      <c r="F125" s="97">
        <v>0</v>
      </c>
      <c r="G125" s="91">
        <f t="shared" ref="G125:G130" si="159">H125*F125</f>
        <v>0</v>
      </c>
      <c r="H125" s="74">
        <v>164796.79999999999</v>
      </c>
      <c r="I125" s="74">
        <v>87054</v>
      </c>
      <c r="J125" s="74">
        <f t="shared" ref="J125:J130" si="160">H125-G125-I125</f>
        <v>77742.799999999988</v>
      </c>
      <c r="K125" s="13">
        <f>2039-2011</f>
        <v>28</v>
      </c>
      <c r="L125" s="32">
        <f t="shared" ref="L125:L130" si="161">(1-(D125/2)*K125)*K125</f>
        <v>28</v>
      </c>
      <c r="M125" s="74">
        <f t="shared" ref="M125:M130" si="162">J125/L125</f>
        <v>2776.528571428571</v>
      </c>
      <c r="N125" s="68">
        <f t="shared" ref="N125:N130" si="163">M125/H125</f>
        <v>1.6848194694487825E-2</v>
      </c>
      <c r="O125" s="32">
        <v>28</v>
      </c>
      <c r="P125" s="13">
        <v>2777</v>
      </c>
      <c r="Q125" s="119">
        <f t="shared" ref="Q125:Q130" si="164">M125-P125</f>
        <v>-0.4714285714289872</v>
      </c>
      <c r="S125" s="13">
        <v>2810</v>
      </c>
      <c r="T125" s="13">
        <f t="shared" ref="T125:T130" si="165">M125-S125</f>
        <v>-33.471428571428987</v>
      </c>
      <c r="W125" s="124">
        <v>0.4200275</v>
      </c>
      <c r="Y125" s="79">
        <f t="shared" ref="Y125:Y130" si="166">M125*W125</f>
        <v>1166.2183545357141</v>
      </c>
      <c r="Z125" s="79">
        <f t="shared" ref="Z125:Z130" si="167">P125*W125</f>
        <v>1166.4163675</v>
      </c>
      <c r="AA125" s="79">
        <f t="shared" ref="AA125:AA130" si="168">Q125*W125</f>
        <v>-0.19801296428588891</v>
      </c>
      <c r="AB125" s="79">
        <f t="shared" ref="AB125:AB130" si="169">S125*W125</f>
        <v>1180.2772749999999</v>
      </c>
      <c r="AC125" s="79">
        <f t="shared" ref="AC125:AC130" si="170">T125*W125</f>
        <v>-14.058920464285888</v>
      </c>
    </row>
    <row r="126" spans="1:29">
      <c r="A126" s="14">
        <v>311</v>
      </c>
      <c r="B126" s="15" t="s">
        <v>162</v>
      </c>
      <c r="C126" s="138">
        <v>51135</v>
      </c>
      <c r="D126" s="102">
        <v>2E-3</v>
      </c>
      <c r="E126" s="152">
        <v>2E-3</v>
      </c>
      <c r="F126" s="97">
        <v>-0.03</v>
      </c>
      <c r="G126" s="91">
        <f t="shared" si="159"/>
        <v>-1539527.3154</v>
      </c>
      <c r="H126" s="74">
        <v>51317577.18</v>
      </c>
      <c r="I126" s="74">
        <v>26663441</v>
      </c>
      <c r="J126" s="74">
        <f t="shared" si="160"/>
        <v>26193663.495399997</v>
      </c>
      <c r="K126" s="13">
        <f t="shared" ref="K126:K130" si="171">2039-2011</f>
        <v>28</v>
      </c>
      <c r="L126" s="32">
        <f t="shared" si="161"/>
        <v>27.216000000000001</v>
      </c>
      <c r="M126" s="74">
        <f t="shared" si="162"/>
        <v>962436.19545120501</v>
      </c>
      <c r="N126" s="68">
        <f t="shared" si="163"/>
        <v>1.87545135280918E-2</v>
      </c>
      <c r="O126" s="32">
        <v>26.5</v>
      </c>
      <c r="P126" s="13">
        <v>1045411</v>
      </c>
      <c r="Q126" s="119">
        <f t="shared" si="164"/>
        <v>-82974.804548794986</v>
      </c>
      <c r="S126" s="13">
        <v>1064464</v>
      </c>
      <c r="T126" s="13">
        <f t="shared" si="165"/>
        <v>-102027.80454879499</v>
      </c>
      <c r="W126" s="124">
        <v>0.4200275</v>
      </c>
      <c r="Y126" s="79">
        <f t="shared" si="166"/>
        <v>404249.66908488102</v>
      </c>
      <c r="Z126" s="79">
        <f t="shared" si="167"/>
        <v>439101.36880250002</v>
      </c>
      <c r="AA126" s="79">
        <f t="shared" si="168"/>
        <v>-34851.699717618983</v>
      </c>
      <c r="AB126" s="79">
        <f t="shared" si="169"/>
        <v>447104.15276000003</v>
      </c>
      <c r="AC126" s="79">
        <f t="shared" si="170"/>
        <v>-42854.483675118987</v>
      </c>
    </row>
    <row r="127" spans="1:29">
      <c r="A127" s="14">
        <v>312</v>
      </c>
      <c r="B127" s="15" t="s">
        <v>11</v>
      </c>
      <c r="C127" s="138">
        <v>51135</v>
      </c>
      <c r="D127" s="102">
        <v>4.4999999999999997E-3</v>
      </c>
      <c r="E127" s="152">
        <v>4.0000000000000001E-3</v>
      </c>
      <c r="F127" s="97">
        <v>-0.02</v>
      </c>
      <c r="G127" s="91">
        <f t="shared" si="159"/>
        <v>-6017321.5476000002</v>
      </c>
      <c r="H127" s="74">
        <v>300866077.38</v>
      </c>
      <c r="I127" s="74">
        <v>85481727</v>
      </c>
      <c r="J127" s="74">
        <f t="shared" si="160"/>
        <v>221401671.92759997</v>
      </c>
      <c r="K127" s="13">
        <f t="shared" si="171"/>
        <v>28</v>
      </c>
      <c r="L127" s="32">
        <f t="shared" si="161"/>
        <v>26.236000000000001</v>
      </c>
      <c r="M127" s="74">
        <f t="shared" si="162"/>
        <v>8438850.1268333569</v>
      </c>
      <c r="N127" s="68">
        <f t="shared" si="163"/>
        <v>2.8048526441799275E-2</v>
      </c>
      <c r="O127" s="32">
        <v>24.9</v>
      </c>
      <c r="P127" s="13">
        <v>9239699</v>
      </c>
      <c r="Q127" s="119">
        <f t="shared" si="164"/>
        <v>-800848.87316664308</v>
      </c>
      <c r="S127" s="13">
        <v>9781965</v>
      </c>
      <c r="T127" s="13">
        <f t="shared" si="165"/>
        <v>-1343114.8731666431</v>
      </c>
      <c r="W127" s="124">
        <v>0.4200275</v>
      </c>
      <c r="Y127" s="79">
        <f t="shared" si="166"/>
        <v>3544549.1216484979</v>
      </c>
      <c r="Z127" s="79">
        <f t="shared" si="167"/>
        <v>3880927.6717225001</v>
      </c>
      <c r="AA127" s="79">
        <f t="shared" si="168"/>
        <v>-336378.55007400218</v>
      </c>
      <c r="AB127" s="79">
        <f t="shared" si="169"/>
        <v>4108694.3040375002</v>
      </c>
      <c r="AC127" s="79">
        <f t="shared" si="170"/>
        <v>-564145.18238900218</v>
      </c>
    </row>
    <row r="128" spans="1:29">
      <c r="A128" s="14">
        <v>314</v>
      </c>
      <c r="B128" s="15" t="s">
        <v>12</v>
      </c>
      <c r="C128" s="138">
        <v>51135</v>
      </c>
      <c r="D128" s="102">
        <v>6.0000000000000001E-3</v>
      </c>
      <c r="E128" s="152">
        <v>6.0000000000000001E-3</v>
      </c>
      <c r="F128" s="97">
        <v>-0.03</v>
      </c>
      <c r="G128" s="91">
        <f t="shared" si="159"/>
        <v>-1921455.7305000001</v>
      </c>
      <c r="H128" s="74">
        <v>64048524.350000001</v>
      </c>
      <c r="I128" s="74">
        <v>20811502</v>
      </c>
      <c r="J128" s="74">
        <f t="shared" si="160"/>
        <v>45158478.080499999</v>
      </c>
      <c r="K128" s="13">
        <f t="shared" si="171"/>
        <v>28</v>
      </c>
      <c r="L128" s="32">
        <f t="shared" si="161"/>
        <v>25.648</v>
      </c>
      <c r="M128" s="74">
        <f t="shared" si="162"/>
        <v>1760701.7342677792</v>
      </c>
      <c r="N128" s="68">
        <f t="shared" si="163"/>
        <v>2.7490121780889696E-2</v>
      </c>
      <c r="O128" s="32">
        <v>24.2</v>
      </c>
      <c r="P128" s="13">
        <v>1975285</v>
      </c>
      <c r="Q128" s="119">
        <f t="shared" si="164"/>
        <v>-214583.26573222084</v>
      </c>
      <c r="S128" s="13">
        <v>2029015</v>
      </c>
      <c r="T128" s="13">
        <f t="shared" si="165"/>
        <v>-268313.26573222084</v>
      </c>
      <c r="W128" s="124">
        <v>0.4200275</v>
      </c>
      <c r="Y128" s="79">
        <f t="shared" si="166"/>
        <v>739543.14769015962</v>
      </c>
      <c r="Z128" s="79">
        <f t="shared" si="167"/>
        <v>829674.02033750003</v>
      </c>
      <c r="AA128" s="79">
        <f t="shared" si="168"/>
        <v>-90130.872647340395</v>
      </c>
      <c r="AB128" s="79">
        <f t="shared" si="169"/>
        <v>852242.09791250003</v>
      </c>
      <c r="AC128" s="79">
        <f t="shared" si="170"/>
        <v>-112698.95022234038</v>
      </c>
    </row>
    <row r="129" spans="1:29">
      <c r="A129" s="14">
        <v>315</v>
      </c>
      <c r="B129" s="15" t="s">
        <v>13</v>
      </c>
      <c r="C129" s="138">
        <v>51135</v>
      </c>
      <c r="D129" s="102">
        <v>1.5E-3</v>
      </c>
      <c r="E129" s="152">
        <v>1.5E-3</v>
      </c>
      <c r="F129" s="97">
        <v>-0.02</v>
      </c>
      <c r="G129" s="91">
        <f t="shared" si="159"/>
        <v>-562586.54920000001</v>
      </c>
      <c r="H129" s="74">
        <v>28129327.460000001</v>
      </c>
      <c r="I129" s="74">
        <v>11407068</v>
      </c>
      <c r="J129" s="74">
        <f t="shared" si="160"/>
        <v>17284846.009199999</v>
      </c>
      <c r="K129" s="13">
        <f t="shared" si="171"/>
        <v>28</v>
      </c>
      <c r="L129" s="32">
        <f t="shared" si="161"/>
        <v>27.411999999999999</v>
      </c>
      <c r="M129" s="74">
        <f t="shared" si="162"/>
        <v>630557.63932584273</v>
      </c>
      <c r="N129" s="68">
        <f t="shared" si="163"/>
        <v>2.2416378074537967E-2</v>
      </c>
      <c r="O129" s="32">
        <v>26.5</v>
      </c>
      <c r="P129" s="13">
        <v>673412</v>
      </c>
      <c r="Q129" s="119">
        <f t="shared" si="164"/>
        <v>-42854.360674157273</v>
      </c>
      <c r="S129" s="13">
        <v>693062</v>
      </c>
      <c r="T129" s="13">
        <f t="shared" si="165"/>
        <v>-62504.360674157273</v>
      </c>
      <c r="W129" s="124">
        <v>0.4200275</v>
      </c>
      <c r="Y129" s="79">
        <f t="shared" si="166"/>
        <v>264851.54885193543</v>
      </c>
      <c r="Z129" s="79">
        <f t="shared" si="167"/>
        <v>282851.55882999999</v>
      </c>
      <c r="AA129" s="79">
        <f t="shared" si="168"/>
        <v>-18000.009978064594</v>
      </c>
      <c r="AB129" s="79">
        <f t="shared" si="169"/>
        <v>291105.09920499998</v>
      </c>
      <c r="AC129" s="79">
        <f t="shared" si="170"/>
        <v>-26253.550353064595</v>
      </c>
    </row>
    <row r="130" spans="1:29">
      <c r="A130" s="14">
        <v>316</v>
      </c>
      <c r="B130" s="15" t="s">
        <v>378</v>
      </c>
      <c r="C130" s="138">
        <v>51135</v>
      </c>
      <c r="D130" s="102">
        <v>1.6E-2</v>
      </c>
      <c r="E130" s="152">
        <v>1.4999999999999999E-2</v>
      </c>
      <c r="F130" s="97">
        <v>-0.04</v>
      </c>
      <c r="G130" s="91">
        <f t="shared" si="159"/>
        <v>-49244.536800000002</v>
      </c>
      <c r="H130" s="74">
        <v>1231113.42</v>
      </c>
      <c r="I130" s="74">
        <v>208893</v>
      </c>
      <c r="J130" s="74">
        <f t="shared" si="160"/>
        <v>1071464.9567999998</v>
      </c>
      <c r="K130" s="13">
        <f t="shared" si="171"/>
        <v>28</v>
      </c>
      <c r="L130" s="32">
        <f t="shared" si="161"/>
        <v>21.728000000000002</v>
      </c>
      <c r="M130" s="74">
        <f t="shared" si="162"/>
        <v>49312.636082474215</v>
      </c>
      <c r="N130" s="88">
        <f t="shared" si="163"/>
        <v>4.0055315197907775E-2</v>
      </c>
      <c r="O130" s="32">
        <v>22.5</v>
      </c>
      <c r="P130" s="13">
        <v>48667</v>
      </c>
      <c r="Q130" s="119">
        <f t="shared" si="164"/>
        <v>645.63608247421507</v>
      </c>
      <c r="S130" s="13">
        <v>48972</v>
      </c>
      <c r="T130" s="13">
        <f t="shared" si="165"/>
        <v>340.63608247421507</v>
      </c>
      <c r="W130" s="124">
        <v>0.4200275</v>
      </c>
      <c r="Y130" s="79">
        <f t="shared" si="166"/>
        <v>20712.663252131439</v>
      </c>
      <c r="Z130" s="79">
        <f t="shared" si="167"/>
        <v>20441.478342499999</v>
      </c>
      <c r="AA130" s="79">
        <f t="shared" si="168"/>
        <v>271.18490963143836</v>
      </c>
      <c r="AB130" s="79">
        <f t="shared" si="169"/>
        <v>20569.586729999999</v>
      </c>
      <c r="AC130" s="79">
        <f t="shared" si="170"/>
        <v>143.07652213143837</v>
      </c>
    </row>
    <row r="131" spans="1:29">
      <c r="A131" s="14"/>
      <c r="B131" s="33" t="s">
        <v>281</v>
      </c>
      <c r="C131" s="23"/>
      <c r="D131" s="102"/>
      <c r="E131" s="152"/>
      <c r="F131" s="96"/>
      <c r="G131" s="72"/>
      <c r="H131" s="76">
        <f>+SUBTOTAL(9,H125:H130)</f>
        <v>445757416.59000003</v>
      </c>
      <c r="I131" s="76">
        <f>+SUBTOTAL(9,I125:I130)</f>
        <v>144659685</v>
      </c>
      <c r="J131" s="76">
        <f>+SUBTOTAL(9,J125:J130)</f>
        <v>311187867.2694999</v>
      </c>
      <c r="K131" s="13"/>
      <c r="L131" s="13"/>
      <c r="M131" s="76">
        <f>+SUBTOTAL(9,M125:M130)</f>
        <v>11844634.860532086</v>
      </c>
      <c r="N131" s="89">
        <f>+ROUND(M131/H131*100,2)</f>
        <v>2.66</v>
      </c>
      <c r="O131" s="31"/>
      <c r="P131" s="104">
        <f>+SUBTOTAL(9,P125:P130)</f>
        <v>12985251</v>
      </c>
      <c r="Q131" s="108">
        <f>+SUBTOTAL(9,Q125:Q130)</f>
        <v>-1140616.1394679134</v>
      </c>
      <c r="S131" s="104">
        <f>+SUBTOTAL(9,S125:S130)</f>
        <v>13620288</v>
      </c>
      <c r="T131" s="104">
        <f>+SUBTOTAL(9,T125:T130)</f>
        <v>-1775653.1394679134</v>
      </c>
      <c r="Y131" s="76">
        <f t="shared" ref="Y131:AC131" si="172">+SUBTOTAL(9,Y125:Y130)</f>
        <v>4975072.3688821401</v>
      </c>
      <c r="Z131" s="76">
        <f t="shared" ref="Z131" si="173">+SUBTOTAL(9,Z125:Z130)</f>
        <v>5454162.5144024994</v>
      </c>
      <c r="AA131" s="76">
        <f t="shared" si="172"/>
        <v>-479090.14552035899</v>
      </c>
      <c r="AB131" s="76">
        <f t="shared" si="172"/>
        <v>5720895.5179199995</v>
      </c>
      <c r="AC131" s="76">
        <f t="shared" si="172"/>
        <v>-745823.14903785894</v>
      </c>
    </row>
    <row r="132" spans="1:29">
      <c r="A132" s="14"/>
      <c r="B132" s="48"/>
      <c r="C132" s="23"/>
      <c r="D132" s="102"/>
      <c r="E132" s="152"/>
      <c r="F132" s="96"/>
      <c r="G132" s="72"/>
      <c r="H132" s="75"/>
      <c r="I132" s="75"/>
      <c r="J132" s="75"/>
      <c r="K132" s="13"/>
      <c r="L132" s="13"/>
      <c r="M132" s="75"/>
      <c r="N132" s="28"/>
      <c r="O132" s="31"/>
      <c r="P132" s="103"/>
      <c r="Q132" s="120"/>
      <c r="S132" s="103"/>
      <c r="T132" s="103"/>
      <c r="Y132" s="75"/>
      <c r="Z132" s="75"/>
      <c r="AA132" s="75"/>
      <c r="AB132" s="75"/>
      <c r="AC132" s="75"/>
    </row>
    <row r="133" spans="1:29">
      <c r="A133" s="6"/>
      <c r="B133" s="49" t="s">
        <v>268</v>
      </c>
      <c r="C133" s="23"/>
      <c r="D133" s="102"/>
      <c r="F133" s="96"/>
      <c r="G133" s="72"/>
      <c r="H133" s="77">
        <f>+SUBTOTAL(9,H15:H131)</f>
        <v>6274413604.2299995</v>
      </c>
      <c r="I133" s="77">
        <f>+SUBTOTAL(9,I15:I131)</f>
        <v>2420929797</v>
      </c>
      <c r="J133" s="77">
        <f>+SUBTOTAL(9,J15:J131)</f>
        <v>4088999353.2597985</v>
      </c>
      <c r="K133" s="51"/>
      <c r="L133" s="51"/>
      <c r="M133" s="77">
        <f>+SUBTOTAL(9,M15:M131)</f>
        <v>200411772.42678195</v>
      </c>
      <c r="N133" s="52">
        <f>+ROUND(M133/H133*100,2)</f>
        <v>3.19</v>
      </c>
      <c r="O133" s="31"/>
      <c r="P133" s="51">
        <f>+SUBTOTAL(9,P15:P131)</f>
        <v>231957419</v>
      </c>
      <c r="Q133" s="110">
        <f>+SUBTOTAL(9,Q15:Q131)</f>
        <v>-31545646.57321801</v>
      </c>
      <c r="S133" s="51">
        <f>+SUBTOTAL(9,S15:S131)</f>
        <v>314994857</v>
      </c>
      <c r="T133" s="51">
        <f>+SUBTOTAL(9,T15:T131)</f>
        <v>-114583084.57321799</v>
      </c>
      <c r="Y133" s="77">
        <f t="shared" ref="Y133:AC133" si="174">+SUBTOTAL(9,Y15:Y131)</f>
        <v>84178455.742990166</v>
      </c>
      <c r="Z133" s="77">
        <f t="shared" ref="Z133" si="175">+SUBTOTAL(9,Z15:Z131)</f>
        <v>97428494.809022501</v>
      </c>
      <c r="AA133" s="77">
        <f t="shared" si="174"/>
        <v>-13250039.06603233</v>
      </c>
      <c r="AB133" s="77">
        <f t="shared" si="174"/>
        <v>132306502.29856756</v>
      </c>
      <c r="AC133" s="77">
        <f t="shared" si="174"/>
        <v>-48128046.555577308</v>
      </c>
    </row>
    <row r="134" spans="1:29">
      <c r="A134" s="6"/>
      <c r="B134" s="48"/>
      <c r="C134" s="23"/>
      <c r="D134" s="102"/>
      <c r="F134" s="96"/>
      <c r="G134" s="72"/>
      <c r="H134" s="74"/>
      <c r="I134" s="74"/>
      <c r="J134" s="74"/>
      <c r="K134" s="13"/>
      <c r="L134" s="13"/>
      <c r="M134" s="74"/>
      <c r="N134" s="27"/>
      <c r="O134" s="31"/>
      <c r="P134" s="13"/>
      <c r="Q134" s="98"/>
      <c r="S134" s="13"/>
      <c r="T134" s="13"/>
      <c r="Y134" s="74"/>
      <c r="Z134" s="74"/>
      <c r="AA134" s="74"/>
      <c r="AB134" s="74"/>
      <c r="AC134" s="74"/>
    </row>
    <row r="135" spans="1:29">
      <c r="A135" s="14">
        <v>310.3</v>
      </c>
      <c r="B135" s="15" t="s">
        <v>27</v>
      </c>
      <c r="C135" s="23"/>
      <c r="D135" s="102"/>
      <c r="F135" s="96"/>
      <c r="G135" s="72"/>
      <c r="H135" s="74"/>
      <c r="I135" s="74"/>
      <c r="J135" s="74"/>
      <c r="K135" s="13"/>
      <c r="L135" s="13"/>
      <c r="M135" s="74"/>
      <c r="N135" s="27"/>
      <c r="O135" s="31"/>
      <c r="P135" s="13"/>
      <c r="S135" s="13"/>
      <c r="T135" s="13"/>
    </row>
    <row r="136" spans="1:29">
      <c r="A136" s="14"/>
      <c r="B136" s="15" t="s">
        <v>179</v>
      </c>
      <c r="C136" s="138"/>
      <c r="D136" s="102"/>
      <c r="E136" s="160"/>
      <c r="F136" s="160"/>
      <c r="G136" s="91"/>
      <c r="H136" s="74">
        <v>865460.63</v>
      </c>
      <c r="I136" s="74">
        <v>683010</v>
      </c>
      <c r="J136" s="74"/>
      <c r="K136" s="13"/>
      <c r="L136" s="13"/>
      <c r="M136" s="74"/>
      <c r="N136" s="18"/>
      <c r="O136" s="18"/>
      <c r="P136" s="13"/>
      <c r="S136" s="18"/>
      <c r="T136" s="18"/>
    </row>
    <row r="137" spans="1:29">
      <c r="A137" s="14"/>
      <c r="B137" s="15" t="s">
        <v>180</v>
      </c>
      <c r="C137" s="138"/>
      <c r="D137" s="102"/>
      <c r="E137" s="160"/>
      <c r="F137" s="160"/>
      <c r="G137" s="91"/>
      <c r="H137" s="74">
        <v>9700996.6099999994</v>
      </c>
      <c r="I137" s="74">
        <v>2534227</v>
      </c>
      <c r="J137" s="74"/>
      <c r="K137" s="13"/>
      <c r="L137" s="13"/>
      <c r="M137" s="74"/>
      <c r="N137" s="18"/>
      <c r="O137" s="18"/>
      <c r="P137" s="13"/>
      <c r="S137" s="18"/>
      <c r="T137" s="18"/>
    </row>
    <row r="138" spans="1:29">
      <c r="A138" s="14"/>
      <c r="B138" s="15" t="s">
        <v>181</v>
      </c>
      <c r="C138" s="138"/>
      <c r="D138" s="102"/>
      <c r="E138" s="160"/>
      <c r="F138" s="160"/>
      <c r="G138" s="91"/>
      <c r="H138" s="74">
        <v>8138.01</v>
      </c>
      <c r="I138" s="74">
        <v>12995</v>
      </c>
      <c r="J138" s="74"/>
      <c r="K138" s="13"/>
      <c r="L138" s="13"/>
      <c r="M138" s="74"/>
      <c r="N138" s="18"/>
      <c r="O138" s="18"/>
      <c r="P138" s="13"/>
      <c r="S138" s="18"/>
      <c r="T138" s="18"/>
    </row>
    <row r="139" spans="1:29">
      <c r="A139" s="14"/>
      <c r="B139" s="15" t="s">
        <v>182</v>
      </c>
      <c r="C139" s="138"/>
      <c r="D139" s="102"/>
      <c r="E139" s="160"/>
      <c r="F139" s="160"/>
      <c r="G139" s="91"/>
      <c r="H139" s="74">
        <v>24271831.300000001</v>
      </c>
      <c r="I139" s="74">
        <v>10839179</v>
      </c>
      <c r="J139" s="74"/>
      <c r="K139" s="13"/>
      <c r="L139" s="13"/>
      <c r="M139" s="74"/>
      <c r="N139" s="18"/>
      <c r="O139" s="18"/>
      <c r="P139" s="13"/>
      <c r="S139" s="18"/>
      <c r="T139" s="18"/>
    </row>
    <row r="140" spans="1:29">
      <c r="A140" s="14"/>
      <c r="B140" s="15" t="s">
        <v>183</v>
      </c>
      <c r="C140" s="138"/>
      <c r="D140" s="102"/>
      <c r="E140" s="160"/>
      <c r="F140" s="160"/>
      <c r="G140" s="91"/>
      <c r="H140" s="74">
        <v>1471639</v>
      </c>
      <c r="I140" s="74">
        <v>981841</v>
      </c>
      <c r="J140" s="74"/>
      <c r="K140" s="13"/>
      <c r="L140" s="13"/>
      <c r="M140" s="74"/>
      <c r="N140" s="18"/>
      <c r="O140" s="18"/>
      <c r="P140" s="13"/>
      <c r="S140" s="18"/>
      <c r="T140" s="18"/>
    </row>
    <row r="141" spans="1:29">
      <c r="A141" s="14"/>
      <c r="B141" s="15" t="s">
        <v>184</v>
      </c>
      <c r="C141" s="138"/>
      <c r="D141" s="102"/>
      <c r="E141" s="160"/>
      <c r="F141" s="160"/>
      <c r="G141" s="91"/>
      <c r="H141" s="74">
        <v>171270</v>
      </c>
      <c r="I141" s="74">
        <v>96463</v>
      </c>
      <c r="J141" s="74"/>
      <c r="K141" s="13"/>
      <c r="L141" s="13"/>
      <c r="M141" s="74"/>
      <c r="N141" s="18"/>
      <c r="O141" s="18"/>
      <c r="P141" s="13"/>
      <c r="S141" s="18"/>
      <c r="T141" s="18"/>
    </row>
    <row r="142" spans="1:29">
      <c r="A142" s="14"/>
      <c r="B142" s="15" t="s">
        <v>185</v>
      </c>
      <c r="C142" s="138"/>
      <c r="D142" s="102"/>
      <c r="E142" s="160"/>
      <c r="F142" s="160"/>
      <c r="G142" s="91"/>
      <c r="H142" s="74">
        <v>690.97</v>
      </c>
      <c r="I142" s="74">
        <v>631</v>
      </c>
      <c r="J142" s="74"/>
      <c r="K142" s="13"/>
      <c r="L142" s="13"/>
      <c r="M142" s="74"/>
      <c r="N142" s="18"/>
      <c r="O142" s="18"/>
      <c r="P142" s="13"/>
      <c r="S142" s="18"/>
      <c r="T142" s="18"/>
    </row>
    <row r="143" spans="1:29">
      <c r="A143" s="14"/>
      <c r="B143" s="15" t="s">
        <v>186</v>
      </c>
      <c r="C143" s="138"/>
      <c r="D143" s="102"/>
      <c r="E143" s="160"/>
      <c r="F143" s="160"/>
      <c r="G143" s="91"/>
      <c r="H143" s="78">
        <v>13496.8</v>
      </c>
      <c r="I143" s="78">
        <v>7722</v>
      </c>
      <c r="J143" s="74"/>
      <c r="K143" s="13"/>
      <c r="L143" s="13"/>
      <c r="M143" s="74"/>
      <c r="N143" s="18"/>
      <c r="O143" s="18"/>
      <c r="P143" s="13"/>
      <c r="S143" s="18"/>
      <c r="T143" s="18"/>
    </row>
    <row r="144" spans="1:29">
      <c r="A144" s="14"/>
      <c r="B144" s="33" t="s">
        <v>285</v>
      </c>
      <c r="C144" s="138"/>
      <c r="D144" s="102"/>
      <c r="E144" s="139"/>
      <c r="F144" s="97"/>
      <c r="G144" s="91"/>
      <c r="H144" s="76">
        <f>+SUBTOTAL(9,H136:H143)</f>
        <v>36503523.319999993</v>
      </c>
      <c r="I144" s="76">
        <f>+SUBTOTAL(9,I136:I143)</f>
        <v>15156068</v>
      </c>
      <c r="J144" s="74"/>
      <c r="K144" s="13"/>
      <c r="L144" s="13"/>
      <c r="M144" s="74"/>
      <c r="N144" s="18"/>
      <c r="O144" s="32"/>
      <c r="P144" s="13"/>
      <c r="S144" s="18"/>
      <c r="T144" s="18"/>
    </row>
    <row r="145" spans="1:29">
      <c r="A145" s="14"/>
      <c r="B145" s="15"/>
      <c r="C145" s="138"/>
      <c r="D145" s="102"/>
      <c r="E145" s="139"/>
      <c r="F145" s="97"/>
      <c r="G145" s="91"/>
      <c r="H145" s="74"/>
      <c r="I145" s="74"/>
      <c r="J145" s="74"/>
      <c r="K145" s="13"/>
      <c r="L145" s="13"/>
      <c r="M145" s="74"/>
      <c r="N145" s="28"/>
      <c r="O145" s="32"/>
      <c r="P145" s="13"/>
      <c r="S145" s="13"/>
      <c r="T145" s="13"/>
    </row>
    <row r="146" spans="1:29">
      <c r="A146" s="6"/>
      <c r="B146" s="49" t="s">
        <v>267</v>
      </c>
      <c r="C146" s="23"/>
      <c r="D146" s="102"/>
      <c r="F146" s="96"/>
      <c r="G146" s="72"/>
      <c r="H146" s="77">
        <f>+SUBTOTAL(9,H15:H144)</f>
        <v>6310917127.5500002</v>
      </c>
      <c r="I146" s="77">
        <f>+SUBTOTAL(9,I15:I144)</f>
        <v>2436085865</v>
      </c>
      <c r="J146" s="77">
        <f>+SUBTOTAL(9,J15:J144)</f>
        <v>4088999353.2597985</v>
      </c>
      <c r="K146" s="51"/>
      <c r="L146" s="51"/>
      <c r="M146" s="77">
        <f>+SUBTOTAL(9,M15:M144)</f>
        <v>200411772.42678195</v>
      </c>
      <c r="N146" s="52">
        <f>+ROUND(M146/H146*100,2)</f>
        <v>3.18</v>
      </c>
      <c r="O146" s="31"/>
      <c r="P146" s="51">
        <f>+SUBTOTAL(9,P15:P144)</f>
        <v>231957419</v>
      </c>
      <c r="Q146" s="110">
        <f>+SUBTOTAL(9,Q15:Q144)</f>
        <v>-31545646.57321801</v>
      </c>
      <c r="S146" s="51">
        <f>+SUBTOTAL(9,S15:S144)</f>
        <v>314994857</v>
      </c>
      <c r="T146" s="51">
        <f>+SUBTOTAL(9,T15:T144)</f>
        <v>-114583084.57321799</v>
      </c>
      <c r="Y146" s="77">
        <f t="shared" ref="Y146:AC146" si="176">+SUBTOTAL(9,Y15:Y144)</f>
        <v>84178455.742990166</v>
      </c>
      <c r="Z146" s="77">
        <f t="shared" ref="Z146" si="177">+SUBTOTAL(9,Z15:Z144)</f>
        <v>97428494.809022501</v>
      </c>
      <c r="AA146" s="77">
        <f t="shared" si="176"/>
        <v>-13250039.06603233</v>
      </c>
      <c r="AB146" s="77">
        <f t="shared" si="176"/>
        <v>132306502.29856756</v>
      </c>
      <c r="AC146" s="77">
        <f t="shared" si="176"/>
        <v>-48128046.555577308</v>
      </c>
    </row>
    <row r="147" spans="1:29">
      <c r="A147" s="6"/>
      <c r="B147" s="48"/>
      <c r="C147" s="23"/>
      <c r="D147" s="102"/>
      <c r="F147" s="96"/>
      <c r="G147" s="72"/>
      <c r="H147" s="74"/>
      <c r="I147" s="74"/>
      <c r="J147" s="74"/>
      <c r="K147" s="13"/>
      <c r="L147" s="13"/>
      <c r="M147" s="74"/>
      <c r="N147" s="27"/>
      <c r="O147" s="31"/>
      <c r="P147" s="17"/>
      <c r="S147" s="13"/>
      <c r="T147" s="13"/>
    </row>
    <row r="148" spans="1:29">
      <c r="A148" s="14"/>
      <c r="B148" s="17"/>
      <c r="C148" s="43"/>
      <c r="F148" s="96"/>
      <c r="G148" s="72"/>
      <c r="I148" s="73"/>
      <c r="J148" s="73"/>
      <c r="K148" s="19"/>
      <c r="L148" s="19"/>
      <c r="M148" s="73"/>
      <c r="N148" s="27"/>
      <c r="O148" s="31"/>
      <c r="P148" s="17"/>
    </row>
    <row r="149" spans="1:29">
      <c r="A149" s="53" t="s">
        <v>15</v>
      </c>
      <c r="B149" s="54"/>
      <c r="C149" s="43"/>
      <c r="F149" s="96"/>
      <c r="G149" s="72"/>
      <c r="I149" s="73"/>
      <c r="J149" s="73"/>
      <c r="K149" s="19"/>
      <c r="L149" s="19"/>
      <c r="M149" s="73"/>
      <c r="N149" s="27"/>
      <c r="O149" s="31"/>
      <c r="P149" s="17"/>
    </row>
    <row r="150" spans="1:29">
      <c r="A150" s="53"/>
      <c r="B150" s="54"/>
      <c r="C150" s="43"/>
      <c r="F150" s="96"/>
      <c r="G150" s="72"/>
      <c r="I150" s="73"/>
      <c r="J150" s="73"/>
      <c r="K150" s="19"/>
      <c r="L150" s="19"/>
      <c r="M150" s="73"/>
      <c r="N150" s="27"/>
      <c r="O150" s="31"/>
      <c r="P150" s="17"/>
    </row>
    <row r="151" spans="1:29">
      <c r="B151" s="55" t="s">
        <v>16</v>
      </c>
      <c r="C151" s="43"/>
      <c r="F151" s="96"/>
      <c r="G151" s="72"/>
      <c r="I151" s="73"/>
      <c r="J151" s="73"/>
      <c r="K151" s="19"/>
      <c r="L151" s="19"/>
      <c r="M151" s="73"/>
      <c r="N151" s="27"/>
      <c r="O151" s="31"/>
      <c r="P151" s="17"/>
    </row>
    <row r="152" spans="1:29">
      <c r="A152" s="20">
        <v>330.2</v>
      </c>
      <c r="B152" s="16" t="s">
        <v>10</v>
      </c>
      <c r="C152" s="138">
        <v>46752</v>
      </c>
      <c r="D152" s="102"/>
      <c r="E152" s="152"/>
      <c r="F152" s="97">
        <v>0</v>
      </c>
      <c r="G152" s="91">
        <f t="shared" ref="G152:G158" si="178">H152*F152</f>
        <v>0</v>
      </c>
      <c r="H152" s="74">
        <v>28699.78</v>
      </c>
      <c r="I152" s="74">
        <v>15790</v>
      </c>
      <c r="J152" s="74">
        <f t="shared" ref="J152:J158" si="179">H152-G152-I152</f>
        <v>12909.779999999999</v>
      </c>
      <c r="K152" s="13">
        <f>2027-2011</f>
        <v>16</v>
      </c>
      <c r="L152" s="32">
        <f t="shared" ref="L152:L158" si="180">(1-(D152/2)*K152)*K152</f>
        <v>16</v>
      </c>
      <c r="M152" s="74">
        <f t="shared" ref="M152:M158" si="181">J152/L152</f>
        <v>806.86124999999993</v>
      </c>
      <c r="N152" s="68">
        <f t="shared" ref="N152:N158" si="182">M152/H152</f>
        <v>2.8113847911029281E-2</v>
      </c>
      <c r="O152" s="32">
        <v>16</v>
      </c>
      <c r="P152" s="13">
        <v>807</v>
      </c>
      <c r="Q152" s="119">
        <f t="shared" ref="Q152:Q158" si="183">M152-P152</f>
        <v>-0.13875000000007276</v>
      </c>
      <c r="S152" s="13">
        <v>801</v>
      </c>
      <c r="T152" s="13">
        <f t="shared" ref="T152:T158" si="184">M152-S152</f>
        <v>5.8612499999999272</v>
      </c>
      <c r="W152" s="124">
        <v>0.4200275</v>
      </c>
      <c r="Y152" s="79">
        <f t="shared" ref="Y152:Y158" si="185">M152*W152</f>
        <v>338.90391368437497</v>
      </c>
      <c r="Z152" s="79">
        <f t="shared" ref="Z152:Z158" si="186">P152*W152</f>
        <v>338.96219250000001</v>
      </c>
      <c r="AA152" s="79">
        <f t="shared" ref="AA152:AA158" si="187">Q152*W152</f>
        <v>-5.827881562503056E-2</v>
      </c>
      <c r="AB152" s="79">
        <f t="shared" ref="AB152:AB158" si="188">S152*W152</f>
        <v>336.44202749999999</v>
      </c>
      <c r="AC152" s="79">
        <f t="shared" ref="AC152:AC158" si="189">T152*W152</f>
        <v>2.4618861843749693</v>
      </c>
    </row>
    <row r="153" spans="1:29">
      <c r="A153" s="20">
        <v>331</v>
      </c>
      <c r="B153" s="15" t="s">
        <v>162</v>
      </c>
      <c r="C153" s="138">
        <v>46752</v>
      </c>
      <c r="D153" s="102">
        <v>2E-3</v>
      </c>
      <c r="E153" s="152">
        <v>2E-3</v>
      </c>
      <c r="F153" s="97">
        <v>-0.02</v>
      </c>
      <c r="G153" s="91">
        <f t="shared" si="178"/>
        <v>-23589.376200000002</v>
      </c>
      <c r="H153" s="74">
        <v>1179468.81</v>
      </c>
      <c r="I153" s="74">
        <v>599314</v>
      </c>
      <c r="J153" s="74">
        <f t="shared" si="179"/>
        <v>603744.18620000011</v>
      </c>
      <c r="K153" s="13">
        <f t="shared" ref="K153:K158" si="190">2027-2011</f>
        <v>16</v>
      </c>
      <c r="L153" s="32">
        <f t="shared" si="180"/>
        <v>15.744</v>
      </c>
      <c r="M153" s="74">
        <f t="shared" si="181"/>
        <v>38347.572802337403</v>
      </c>
      <c r="N153" s="68">
        <f t="shared" si="182"/>
        <v>3.2512578948431368E-2</v>
      </c>
      <c r="O153" s="32">
        <v>15.7</v>
      </c>
      <c r="P153" s="13">
        <v>38500</v>
      </c>
      <c r="Q153" s="119">
        <f t="shared" si="183"/>
        <v>-152.42719766259688</v>
      </c>
      <c r="S153" s="13">
        <v>39108</v>
      </c>
      <c r="T153" s="13">
        <f t="shared" si="184"/>
        <v>-760.42719766259688</v>
      </c>
      <c r="W153" s="124">
        <v>0.4200275</v>
      </c>
      <c r="Y153" s="79">
        <f t="shared" si="185"/>
        <v>16107.035135233773</v>
      </c>
      <c r="Z153" s="79">
        <f t="shared" si="186"/>
        <v>16171.05875</v>
      </c>
      <c r="AA153" s="79">
        <f t="shared" si="187"/>
        <v>-64.023614766226416</v>
      </c>
      <c r="AB153" s="79">
        <f t="shared" si="188"/>
        <v>16426.43547</v>
      </c>
      <c r="AC153" s="79">
        <f t="shared" si="189"/>
        <v>-319.40033476622642</v>
      </c>
    </row>
    <row r="154" spans="1:29">
      <c r="A154" s="20">
        <v>332</v>
      </c>
      <c r="B154" s="16" t="s">
        <v>163</v>
      </c>
      <c r="C154" s="138">
        <v>46752</v>
      </c>
      <c r="D154" s="102">
        <v>1.5E-3</v>
      </c>
      <c r="E154" s="152">
        <v>1.5E-3</v>
      </c>
      <c r="F154" s="97">
        <v>-0.01</v>
      </c>
      <c r="G154" s="91">
        <f t="shared" si="178"/>
        <v>-149517.4314</v>
      </c>
      <c r="H154" s="74">
        <v>14951743.140000001</v>
      </c>
      <c r="I154" s="74">
        <v>2905527</v>
      </c>
      <c r="J154" s="74">
        <f t="shared" si="179"/>
        <v>12195733.5714</v>
      </c>
      <c r="K154" s="13">
        <f t="shared" si="190"/>
        <v>16</v>
      </c>
      <c r="L154" s="32">
        <f t="shared" si="180"/>
        <v>15.808</v>
      </c>
      <c r="M154" s="74">
        <f t="shared" si="181"/>
        <v>771491.24313006073</v>
      </c>
      <c r="N154" s="68">
        <f t="shared" si="182"/>
        <v>5.1598749116155612E-2</v>
      </c>
      <c r="O154" s="32">
        <v>15.9</v>
      </c>
      <c r="P154" s="13">
        <v>769088</v>
      </c>
      <c r="Q154" s="119">
        <f t="shared" si="183"/>
        <v>2403.2431300607277</v>
      </c>
      <c r="S154" s="13">
        <v>1830162</v>
      </c>
      <c r="T154" s="13">
        <f t="shared" si="184"/>
        <v>-1058670.7568699392</v>
      </c>
      <c r="W154" s="124">
        <v>0.4200275</v>
      </c>
      <c r="Y154" s="79">
        <f t="shared" si="185"/>
        <v>324047.5381238116</v>
      </c>
      <c r="Z154" s="79">
        <f t="shared" si="186"/>
        <v>323038.10992000002</v>
      </c>
      <c r="AA154" s="79">
        <f t="shared" si="187"/>
        <v>1009.4282038115823</v>
      </c>
      <c r="AB154" s="79">
        <f t="shared" si="188"/>
        <v>768718.36945500004</v>
      </c>
      <c r="AC154" s="79">
        <f t="shared" si="189"/>
        <v>-444670.83133118838</v>
      </c>
    </row>
    <row r="155" spans="1:29">
      <c r="A155" s="20">
        <v>333</v>
      </c>
      <c r="B155" s="16" t="s">
        <v>381</v>
      </c>
      <c r="C155" s="138">
        <v>46752</v>
      </c>
      <c r="D155" s="102">
        <v>4.4999999999999997E-3</v>
      </c>
      <c r="E155" s="152">
        <v>4.4999999999999997E-3</v>
      </c>
      <c r="F155" s="97">
        <v>-0.03</v>
      </c>
      <c r="G155" s="91">
        <f t="shared" si="178"/>
        <v>-73469.950199999992</v>
      </c>
      <c r="H155" s="74">
        <v>2448998.34</v>
      </c>
      <c r="I155" s="74">
        <v>1289204</v>
      </c>
      <c r="J155" s="74">
        <f t="shared" si="179"/>
        <v>1233264.2901999997</v>
      </c>
      <c r="K155" s="13">
        <f t="shared" si="190"/>
        <v>16</v>
      </c>
      <c r="L155" s="32">
        <f t="shared" si="180"/>
        <v>15.423999999999999</v>
      </c>
      <c r="M155" s="74">
        <f t="shared" si="181"/>
        <v>79957.487694502051</v>
      </c>
      <c r="N155" s="68">
        <f t="shared" si="182"/>
        <v>3.2649057530395084E-2</v>
      </c>
      <c r="O155" s="32">
        <v>15.5</v>
      </c>
      <c r="P155" s="13">
        <v>79521</v>
      </c>
      <c r="Q155" s="119">
        <f t="shared" si="183"/>
        <v>436.48769450205145</v>
      </c>
      <c r="S155" s="13">
        <v>78004</v>
      </c>
      <c r="T155" s="13">
        <f t="shared" si="184"/>
        <v>1953.4876945020515</v>
      </c>
      <c r="W155" s="124">
        <v>0.4200275</v>
      </c>
      <c r="Y155" s="79">
        <f t="shared" si="185"/>
        <v>33584.343662602463</v>
      </c>
      <c r="Z155" s="79">
        <f t="shared" si="186"/>
        <v>33401.006827500001</v>
      </c>
      <c r="AA155" s="79">
        <f t="shared" si="187"/>
        <v>183.33683510246041</v>
      </c>
      <c r="AB155" s="79">
        <f t="shared" si="188"/>
        <v>32763.825110000002</v>
      </c>
      <c r="AC155" s="79">
        <f t="shared" si="189"/>
        <v>820.51855260246043</v>
      </c>
    </row>
    <row r="156" spans="1:29">
      <c r="A156" s="20">
        <v>334</v>
      </c>
      <c r="B156" s="16" t="s">
        <v>13</v>
      </c>
      <c r="C156" s="138">
        <v>46752</v>
      </c>
      <c r="D156" s="102">
        <v>5.0000000000000001E-3</v>
      </c>
      <c r="E156" s="152">
        <v>4.0000000000000001E-3</v>
      </c>
      <c r="F156" s="97">
        <v>-0.03</v>
      </c>
      <c r="G156" s="91">
        <f t="shared" si="178"/>
        <v>-41554.486799999999</v>
      </c>
      <c r="H156" s="74">
        <v>1385149.56</v>
      </c>
      <c r="I156" s="74">
        <v>674765</v>
      </c>
      <c r="J156" s="74">
        <f t="shared" si="179"/>
        <v>751939.04680000013</v>
      </c>
      <c r="K156" s="13">
        <f t="shared" si="190"/>
        <v>16</v>
      </c>
      <c r="L156" s="32">
        <f t="shared" si="180"/>
        <v>15.36</v>
      </c>
      <c r="M156" s="74">
        <f t="shared" si="181"/>
        <v>48954.365026041676</v>
      </c>
      <c r="N156" s="68">
        <f t="shared" si="182"/>
        <v>3.5342295474606857E-2</v>
      </c>
      <c r="O156" s="32">
        <v>14.8</v>
      </c>
      <c r="P156" s="13">
        <v>50863</v>
      </c>
      <c r="Q156" s="119">
        <f t="shared" si="183"/>
        <v>-1908.6349739583238</v>
      </c>
      <c r="S156" s="13">
        <v>51201</v>
      </c>
      <c r="T156" s="13">
        <f t="shared" si="184"/>
        <v>-2246.6349739583238</v>
      </c>
      <c r="W156" s="124">
        <v>0.4200275</v>
      </c>
      <c r="Y156" s="79">
        <f t="shared" si="185"/>
        <v>20562.179555975719</v>
      </c>
      <c r="Z156" s="79">
        <f t="shared" si="186"/>
        <v>21363.858732500001</v>
      </c>
      <c r="AA156" s="79">
        <f t="shared" si="187"/>
        <v>-801.67917652427991</v>
      </c>
      <c r="AB156" s="79">
        <f t="shared" si="188"/>
        <v>21505.8280275</v>
      </c>
      <c r="AC156" s="79">
        <f t="shared" si="189"/>
        <v>-943.6484715242799</v>
      </c>
    </row>
    <row r="157" spans="1:29">
      <c r="A157" s="20">
        <v>335</v>
      </c>
      <c r="B157" s="15" t="s">
        <v>378</v>
      </c>
      <c r="C157" s="138">
        <v>46752</v>
      </c>
      <c r="D157" s="102">
        <v>7.0000000000000001E-3</v>
      </c>
      <c r="E157" s="152">
        <v>6.0000000000000001E-3</v>
      </c>
      <c r="F157" s="97">
        <v>-0.01</v>
      </c>
      <c r="G157" s="91">
        <f t="shared" si="178"/>
        <v>-86.49969999999999</v>
      </c>
      <c r="H157" s="74">
        <v>8649.9699999999993</v>
      </c>
      <c r="I157" s="74">
        <v>5093</v>
      </c>
      <c r="J157" s="74">
        <f t="shared" si="179"/>
        <v>3643.4696999999996</v>
      </c>
      <c r="K157" s="13">
        <f t="shared" si="190"/>
        <v>16</v>
      </c>
      <c r="L157" s="32">
        <f t="shared" si="180"/>
        <v>15.103999999999999</v>
      </c>
      <c r="M157" s="74">
        <f t="shared" si="181"/>
        <v>241.22548331567796</v>
      </c>
      <c r="N157" s="68">
        <f t="shared" si="182"/>
        <v>2.7887435831069701E-2</v>
      </c>
      <c r="O157" s="32">
        <v>15.1</v>
      </c>
      <c r="P157" s="13">
        <v>242</v>
      </c>
      <c r="Q157" s="119">
        <f t="shared" si="183"/>
        <v>-0.77451668432203746</v>
      </c>
      <c r="S157" s="13">
        <v>240</v>
      </c>
      <c r="T157" s="13">
        <f t="shared" si="184"/>
        <v>1.2254833156779625</v>
      </c>
      <c r="W157" s="124">
        <v>0.4200275</v>
      </c>
      <c r="Y157" s="79">
        <f t="shared" si="185"/>
        <v>101.32133669337593</v>
      </c>
      <c r="Z157" s="79">
        <f t="shared" si="186"/>
        <v>101.646655</v>
      </c>
      <c r="AA157" s="79">
        <f t="shared" si="187"/>
        <v>-0.32531830662407457</v>
      </c>
      <c r="AB157" s="79">
        <f t="shared" si="188"/>
        <v>100.8066</v>
      </c>
      <c r="AC157" s="79">
        <f t="shared" si="189"/>
        <v>0.51473669337592542</v>
      </c>
    </row>
    <row r="158" spans="1:29">
      <c r="A158" s="20">
        <v>336</v>
      </c>
      <c r="B158" s="16" t="s">
        <v>164</v>
      </c>
      <c r="C158" s="138">
        <v>46752</v>
      </c>
      <c r="D158" s="102">
        <v>2E-3</v>
      </c>
      <c r="E158" s="152">
        <v>0.01</v>
      </c>
      <c r="F158" s="97">
        <v>-0.05</v>
      </c>
      <c r="G158" s="91">
        <f t="shared" si="178"/>
        <v>-37.214999999999996</v>
      </c>
      <c r="H158" s="74">
        <v>744.3</v>
      </c>
      <c r="I158" s="74">
        <v>598</v>
      </c>
      <c r="J158" s="74">
        <f t="shared" si="179"/>
        <v>183.51499999999999</v>
      </c>
      <c r="K158" s="13">
        <f t="shared" si="190"/>
        <v>16</v>
      </c>
      <c r="L158" s="32">
        <f t="shared" si="180"/>
        <v>15.744</v>
      </c>
      <c r="M158" s="74">
        <f t="shared" si="181"/>
        <v>11.656186483739837</v>
      </c>
      <c r="N158" s="88">
        <f t="shared" si="182"/>
        <v>1.5660602557758752E-2</v>
      </c>
      <c r="O158" s="32">
        <v>15.3</v>
      </c>
      <c r="P158" s="13">
        <v>12</v>
      </c>
      <c r="Q158" s="119">
        <f t="shared" si="183"/>
        <v>-0.34381351626016254</v>
      </c>
      <c r="S158" s="13">
        <v>12</v>
      </c>
      <c r="T158" s="13">
        <f t="shared" si="184"/>
        <v>-0.34381351626016254</v>
      </c>
      <c r="W158" s="124">
        <v>0.4200275</v>
      </c>
      <c r="Y158" s="79">
        <f t="shared" si="185"/>
        <v>4.8959188682990344</v>
      </c>
      <c r="Z158" s="79">
        <f t="shared" si="186"/>
        <v>5.04033</v>
      </c>
      <c r="AA158" s="79">
        <f t="shared" si="187"/>
        <v>-0.14441113170096542</v>
      </c>
      <c r="AB158" s="79">
        <f t="shared" si="188"/>
        <v>5.04033</v>
      </c>
      <c r="AC158" s="79">
        <f t="shared" si="189"/>
        <v>-0.14441113170096542</v>
      </c>
    </row>
    <row r="159" spans="1:29">
      <c r="B159" s="33" t="s">
        <v>18</v>
      </c>
      <c r="C159" s="23"/>
      <c r="D159" s="102"/>
      <c r="E159" s="152"/>
      <c r="F159" s="96"/>
      <c r="G159" s="72"/>
      <c r="H159" s="75">
        <f>+SUBTOTAL(9,H152:H158)</f>
        <v>20003453.899999999</v>
      </c>
      <c r="I159" s="75">
        <f>+SUBTOTAL(9,I152:I158)</f>
        <v>5490291</v>
      </c>
      <c r="J159" s="75">
        <f>+SUBTOTAL(9,J152:J158)</f>
        <v>14801417.859299999</v>
      </c>
      <c r="K159" s="13"/>
      <c r="L159" s="13"/>
      <c r="M159" s="75">
        <f>+SUBTOTAL(9,M152:M158)</f>
        <v>939810.41157274111</v>
      </c>
      <c r="N159" s="27">
        <f>+ROUND(M159/H159*100,2)</f>
        <v>4.7</v>
      </c>
      <c r="O159" s="31"/>
      <c r="P159" s="103">
        <f>+SUBTOTAL(9,P152:P158)</f>
        <v>939033</v>
      </c>
      <c r="Q159" s="120">
        <f>+SUBTOTAL(9,Q152:Q158)</f>
        <v>777.41157274127613</v>
      </c>
      <c r="S159" s="103">
        <f>+SUBTOTAL(9,S152:S158)</f>
        <v>1999528</v>
      </c>
      <c r="T159" s="103">
        <f>+SUBTOTAL(9,T152:T158)</f>
        <v>-1059717.5884272584</v>
      </c>
      <c r="Y159" s="75">
        <f t="shared" ref="Y159:AC159" si="191">+SUBTOTAL(9,Y152:Y158)</f>
        <v>394746.2176468696</v>
      </c>
      <c r="Z159" s="75">
        <f t="shared" si="191"/>
        <v>394419.68340749998</v>
      </c>
      <c r="AA159" s="75">
        <f t="shared" si="191"/>
        <v>326.53423936958637</v>
      </c>
      <c r="AB159" s="75">
        <f t="shared" si="191"/>
        <v>839856.74702000001</v>
      </c>
      <c r="AC159" s="75">
        <f t="shared" si="191"/>
        <v>-445110.52937313041</v>
      </c>
    </row>
    <row r="160" spans="1:29">
      <c r="C160" s="23"/>
      <c r="D160" s="102"/>
      <c r="E160" s="152"/>
      <c r="F160" s="96"/>
      <c r="G160" s="72"/>
      <c r="H160" s="74"/>
      <c r="I160" s="73"/>
      <c r="J160" s="73"/>
      <c r="K160" s="19"/>
      <c r="L160" s="19"/>
      <c r="M160" s="73"/>
      <c r="N160" s="27"/>
      <c r="O160" s="31"/>
      <c r="P160" s="19"/>
      <c r="S160" s="19"/>
      <c r="T160" s="19"/>
    </row>
    <row r="161" spans="1:29">
      <c r="B161" s="55" t="s">
        <v>19</v>
      </c>
      <c r="C161" s="43"/>
      <c r="E161" s="153"/>
      <c r="F161" s="96"/>
      <c r="G161" s="72"/>
      <c r="I161" s="73"/>
      <c r="J161" s="73"/>
      <c r="K161" s="19"/>
      <c r="L161" s="19"/>
      <c r="M161" s="73"/>
      <c r="N161" s="27"/>
      <c r="O161" s="31"/>
      <c r="P161" s="19"/>
      <c r="S161" s="19"/>
      <c r="T161" s="19"/>
    </row>
    <row r="162" spans="1:29">
      <c r="A162" s="20">
        <v>330.2</v>
      </c>
      <c r="B162" s="16" t="s">
        <v>10</v>
      </c>
      <c r="C162" s="138">
        <v>48944</v>
      </c>
      <c r="D162" s="102"/>
      <c r="E162" s="152"/>
      <c r="F162" s="97">
        <v>0</v>
      </c>
      <c r="G162" s="91">
        <f t="shared" ref="G162:G168" si="192">H162*F162</f>
        <v>0</v>
      </c>
      <c r="H162" s="74">
        <v>5879.43</v>
      </c>
      <c r="I162" s="74">
        <v>4113</v>
      </c>
      <c r="J162" s="74">
        <f t="shared" ref="J162:J168" si="193">H162-G162-I162</f>
        <v>1766.4300000000003</v>
      </c>
      <c r="K162" s="13">
        <f>2033-2011</f>
        <v>22</v>
      </c>
      <c r="L162" s="32">
        <f t="shared" ref="L162:L168" si="194">(1-(D162/2)*K162)*K162</f>
        <v>22</v>
      </c>
      <c r="M162" s="74">
        <f t="shared" ref="M162:M168" si="195">J162/L162</f>
        <v>80.292272727272746</v>
      </c>
      <c r="N162" s="68">
        <f t="shared" ref="N162:N168" si="196">M162/H162</f>
        <v>1.3656472264704698E-2</v>
      </c>
      <c r="O162" s="32">
        <v>21.8</v>
      </c>
      <c r="P162" s="13">
        <v>81</v>
      </c>
      <c r="Q162" s="119">
        <f t="shared" ref="Q162:Q168" si="197">M162-P162</f>
        <v>-0.70772727272725433</v>
      </c>
      <c r="S162" s="13">
        <v>81</v>
      </c>
      <c r="T162" s="13">
        <f t="shared" ref="T162:T168" si="198">M162-S162</f>
        <v>-0.70772727272725433</v>
      </c>
      <c r="W162" s="124">
        <v>0.4200275</v>
      </c>
      <c r="Y162" s="79">
        <f t="shared" ref="Y162:Y168" si="199">M162*W162</f>
        <v>33.724962582954554</v>
      </c>
      <c r="Z162" s="79">
        <f t="shared" ref="Z162:Z168" si="200">P162*W162</f>
        <v>34.0222275</v>
      </c>
      <c r="AA162" s="79">
        <f t="shared" ref="AA162:AA168" si="201">Q162*W162</f>
        <v>-0.29726491704544683</v>
      </c>
      <c r="AB162" s="79">
        <f t="shared" ref="AB162:AB168" si="202">S162*W162</f>
        <v>34.0222275</v>
      </c>
      <c r="AC162" s="79">
        <f t="shared" ref="AC162:AC168" si="203">T162*W162</f>
        <v>-0.29726491704544683</v>
      </c>
    </row>
    <row r="163" spans="1:29">
      <c r="A163" s="20">
        <v>331</v>
      </c>
      <c r="B163" s="15" t="s">
        <v>162</v>
      </c>
      <c r="C163" s="138">
        <v>48944</v>
      </c>
      <c r="D163" s="102">
        <v>2E-3</v>
      </c>
      <c r="E163" s="152">
        <v>2E-3</v>
      </c>
      <c r="F163" s="97">
        <v>-0.01</v>
      </c>
      <c r="G163" s="91">
        <f t="shared" si="192"/>
        <v>-46741.626799999998</v>
      </c>
      <c r="H163" s="74">
        <v>4674162.68</v>
      </c>
      <c r="I163" s="74">
        <v>1885457</v>
      </c>
      <c r="J163" s="74">
        <f t="shared" si="193"/>
        <v>2835447.3067999994</v>
      </c>
      <c r="K163" s="13">
        <f t="shared" ref="K163:K168" si="204">2033-2011</f>
        <v>22</v>
      </c>
      <c r="L163" s="32">
        <f t="shared" si="194"/>
        <v>21.515999999999998</v>
      </c>
      <c r="M163" s="74">
        <f t="shared" si="195"/>
        <v>131783.19886596021</v>
      </c>
      <c r="N163" s="68">
        <f t="shared" si="196"/>
        <v>2.8193969249260323E-2</v>
      </c>
      <c r="O163" s="32">
        <v>21.2</v>
      </c>
      <c r="P163" s="13">
        <v>140077</v>
      </c>
      <c r="Q163" s="119">
        <f t="shared" si="197"/>
        <v>-8293.8011340397934</v>
      </c>
      <c r="S163" s="13">
        <v>143190</v>
      </c>
      <c r="T163" s="13">
        <f t="shared" si="198"/>
        <v>-11406.801134039793</v>
      </c>
      <c r="W163" s="124">
        <v>0.4200275</v>
      </c>
      <c r="Y163" s="79">
        <f t="shared" si="199"/>
        <v>55352.567561672098</v>
      </c>
      <c r="Z163" s="79">
        <f t="shared" si="200"/>
        <v>58836.192117500002</v>
      </c>
      <c r="AA163" s="79">
        <f t="shared" si="201"/>
        <v>-3483.6245558278993</v>
      </c>
      <c r="AB163" s="79">
        <f t="shared" si="202"/>
        <v>60143.737724999999</v>
      </c>
      <c r="AC163" s="79">
        <f t="shared" si="203"/>
        <v>-4791.170163327899</v>
      </c>
    </row>
    <row r="164" spans="1:29">
      <c r="A164" s="20">
        <v>332</v>
      </c>
      <c r="B164" s="16" t="s">
        <v>163</v>
      </c>
      <c r="C164" s="138">
        <v>48944</v>
      </c>
      <c r="D164" s="102">
        <v>1.5E-3</v>
      </c>
      <c r="E164" s="152">
        <v>1.5E-3</v>
      </c>
      <c r="F164" s="97">
        <v>-0.01</v>
      </c>
      <c r="G164" s="91">
        <f t="shared" si="192"/>
        <v>-252202.04320000001</v>
      </c>
      <c r="H164" s="74">
        <v>25220204.32</v>
      </c>
      <c r="I164" s="74">
        <v>9868843</v>
      </c>
      <c r="J164" s="74">
        <f t="shared" si="193"/>
        <v>15603563.363200001</v>
      </c>
      <c r="K164" s="13">
        <f t="shared" si="204"/>
        <v>22</v>
      </c>
      <c r="L164" s="32">
        <f t="shared" si="194"/>
        <v>21.637</v>
      </c>
      <c r="M164" s="74">
        <f t="shared" si="195"/>
        <v>721151.88626889128</v>
      </c>
      <c r="N164" s="68">
        <f t="shared" si="196"/>
        <v>2.8594212684351927E-2</v>
      </c>
      <c r="O164" s="32">
        <v>21.4</v>
      </c>
      <c r="P164" s="13">
        <v>751331</v>
      </c>
      <c r="Q164" s="119">
        <f t="shared" si="197"/>
        <v>-30179.113731108722</v>
      </c>
      <c r="S164" s="13">
        <v>956665</v>
      </c>
      <c r="T164" s="13">
        <f t="shared" si="198"/>
        <v>-235513.11373110872</v>
      </c>
      <c r="W164" s="124">
        <v>0.4200275</v>
      </c>
      <c r="Y164" s="79">
        <f t="shared" si="199"/>
        <v>302903.62390980672</v>
      </c>
      <c r="Z164" s="79">
        <f t="shared" si="200"/>
        <v>315579.68160249997</v>
      </c>
      <c r="AA164" s="79">
        <f t="shared" si="201"/>
        <v>-12676.057692693268</v>
      </c>
      <c r="AB164" s="79">
        <f t="shared" si="202"/>
        <v>401825.60828749998</v>
      </c>
      <c r="AC164" s="79">
        <f t="shared" si="203"/>
        <v>-98921.984377693268</v>
      </c>
    </row>
    <row r="165" spans="1:29">
      <c r="A165" s="20">
        <v>333</v>
      </c>
      <c r="B165" s="16" t="s">
        <v>381</v>
      </c>
      <c r="C165" s="138">
        <v>48944</v>
      </c>
      <c r="D165" s="102">
        <v>4.4999999999999997E-3</v>
      </c>
      <c r="E165" s="152">
        <v>4.4999999999999997E-3</v>
      </c>
      <c r="F165" s="97">
        <v>-0.02</v>
      </c>
      <c r="G165" s="91">
        <f t="shared" si="192"/>
        <v>-214468.0356</v>
      </c>
      <c r="H165" s="74">
        <v>10723401.779999999</v>
      </c>
      <c r="I165" s="74">
        <v>3513175</v>
      </c>
      <c r="J165" s="74">
        <f t="shared" si="193"/>
        <v>7424694.8155999985</v>
      </c>
      <c r="K165" s="13">
        <f t="shared" si="204"/>
        <v>22</v>
      </c>
      <c r="L165" s="32">
        <f t="shared" si="194"/>
        <v>20.911000000000001</v>
      </c>
      <c r="M165" s="74">
        <f t="shared" si="195"/>
        <v>355061.68120128155</v>
      </c>
      <c r="N165" s="68">
        <f t="shared" si="196"/>
        <v>3.3110918390048573E-2</v>
      </c>
      <c r="O165" s="32">
        <v>21.1</v>
      </c>
      <c r="P165" s="13">
        <v>361247</v>
      </c>
      <c r="Q165" s="119">
        <f t="shared" si="197"/>
        <v>-6185.3187987184501</v>
      </c>
      <c r="S165" s="13">
        <v>372788</v>
      </c>
      <c r="T165" s="13">
        <f t="shared" si="198"/>
        <v>-17726.31879871845</v>
      </c>
      <c r="W165" s="124">
        <v>0.4200275</v>
      </c>
      <c r="Y165" s="79">
        <f t="shared" si="199"/>
        <v>149135.67030077128</v>
      </c>
      <c r="Z165" s="79">
        <f t="shared" si="200"/>
        <v>151733.67429249999</v>
      </c>
      <c r="AA165" s="79">
        <f t="shared" si="201"/>
        <v>-2598.0039917287136</v>
      </c>
      <c r="AB165" s="79">
        <f t="shared" si="202"/>
        <v>156581.21166999999</v>
      </c>
      <c r="AC165" s="79">
        <f t="shared" si="203"/>
        <v>-7445.5413692287138</v>
      </c>
    </row>
    <row r="166" spans="1:29">
      <c r="A166" s="20">
        <v>334</v>
      </c>
      <c r="B166" s="16" t="s">
        <v>13</v>
      </c>
      <c r="C166" s="138">
        <v>48944</v>
      </c>
      <c r="D166" s="102">
        <v>5.0000000000000001E-3</v>
      </c>
      <c r="E166" s="152">
        <v>4.0000000000000001E-3</v>
      </c>
      <c r="F166" s="97">
        <v>-0.01</v>
      </c>
      <c r="G166" s="91">
        <f t="shared" si="192"/>
        <v>-41147.811900000001</v>
      </c>
      <c r="H166" s="74">
        <v>4114781.19</v>
      </c>
      <c r="I166" s="74">
        <v>1293278</v>
      </c>
      <c r="J166" s="74">
        <f t="shared" si="193"/>
        <v>2862651.0019</v>
      </c>
      <c r="K166" s="13">
        <f t="shared" si="204"/>
        <v>22</v>
      </c>
      <c r="L166" s="32">
        <f t="shared" si="194"/>
        <v>20.79</v>
      </c>
      <c r="M166" s="74">
        <f t="shared" si="195"/>
        <v>137693.6508850409</v>
      </c>
      <c r="N166" s="68">
        <f t="shared" si="196"/>
        <v>3.3463176904685157E-2</v>
      </c>
      <c r="O166" s="32">
        <v>19.899999999999999</v>
      </c>
      <c r="P166" s="13">
        <v>150063</v>
      </c>
      <c r="Q166" s="119">
        <f t="shared" si="197"/>
        <v>-12369.349114959099</v>
      </c>
      <c r="S166" s="13">
        <v>153325</v>
      </c>
      <c r="T166" s="13">
        <f t="shared" si="198"/>
        <v>-15631.349114959099</v>
      </c>
      <c r="W166" s="124">
        <v>0.4200275</v>
      </c>
      <c r="Y166" s="79">
        <f t="shared" si="199"/>
        <v>57835.119947116516</v>
      </c>
      <c r="Z166" s="79">
        <f t="shared" si="200"/>
        <v>63030.5867325</v>
      </c>
      <c r="AA166" s="79">
        <f t="shared" si="201"/>
        <v>-5195.4667853834826</v>
      </c>
      <c r="AB166" s="79">
        <f t="shared" si="202"/>
        <v>64400.716437499999</v>
      </c>
      <c r="AC166" s="79">
        <f t="shared" si="203"/>
        <v>-6565.5964903834829</v>
      </c>
    </row>
    <row r="167" spans="1:29">
      <c r="A167" s="20">
        <v>335</v>
      </c>
      <c r="B167" s="15" t="s">
        <v>378</v>
      </c>
      <c r="C167" s="138">
        <v>48944</v>
      </c>
      <c r="D167" s="102">
        <v>7.0000000000000001E-3</v>
      </c>
      <c r="E167" s="152">
        <v>6.0000000000000001E-3</v>
      </c>
      <c r="F167" s="97">
        <v>-0.01</v>
      </c>
      <c r="G167" s="91">
        <f t="shared" si="192"/>
        <v>-820.97</v>
      </c>
      <c r="H167" s="74">
        <v>82097</v>
      </c>
      <c r="I167" s="74">
        <v>38018</v>
      </c>
      <c r="J167" s="74">
        <f t="shared" si="193"/>
        <v>44899.97</v>
      </c>
      <c r="K167" s="13">
        <f t="shared" si="204"/>
        <v>22</v>
      </c>
      <c r="L167" s="32">
        <f t="shared" si="194"/>
        <v>20.306000000000001</v>
      </c>
      <c r="M167" s="74">
        <f t="shared" si="195"/>
        <v>2211.1676351817196</v>
      </c>
      <c r="N167" s="68">
        <f t="shared" si="196"/>
        <v>2.6933598489368913E-2</v>
      </c>
      <c r="O167" s="32">
        <v>20.2</v>
      </c>
      <c r="P167" s="13">
        <v>2263</v>
      </c>
      <c r="Q167" s="119">
        <f t="shared" si="197"/>
        <v>-51.832364818280439</v>
      </c>
      <c r="S167" s="13">
        <v>2213</v>
      </c>
      <c r="T167" s="13">
        <f t="shared" si="198"/>
        <v>-1.8323648182804391</v>
      </c>
      <c r="W167" s="124">
        <v>0.4200275</v>
      </c>
      <c r="Y167" s="79">
        <f t="shared" si="199"/>
        <v>928.75121388628975</v>
      </c>
      <c r="Z167" s="79">
        <f t="shared" si="200"/>
        <v>950.52223249999997</v>
      </c>
      <c r="AA167" s="79">
        <f t="shared" si="201"/>
        <v>-21.771018613710286</v>
      </c>
      <c r="AB167" s="79">
        <f t="shared" si="202"/>
        <v>929.52085750000003</v>
      </c>
      <c r="AC167" s="79">
        <f t="shared" si="203"/>
        <v>-0.76964361371028711</v>
      </c>
    </row>
    <row r="168" spans="1:29">
      <c r="A168" s="20">
        <v>336</v>
      </c>
      <c r="B168" s="16" t="s">
        <v>164</v>
      </c>
      <c r="C168" s="138">
        <v>48944</v>
      </c>
      <c r="D168" s="102">
        <v>2E-3</v>
      </c>
      <c r="E168" s="152">
        <v>0.01</v>
      </c>
      <c r="F168" s="97">
        <v>-0.01</v>
      </c>
      <c r="G168" s="91">
        <f t="shared" si="192"/>
        <v>-5981.2493000000004</v>
      </c>
      <c r="H168" s="74">
        <v>598124.93000000005</v>
      </c>
      <c r="I168" s="74">
        <v>250356</v>
      </c>
      <c r="J168" s="74">
        <f t="shared" si="193"/>
        <v>353750.17930000008</v>
      </c>
      <c r="K168" s="13">
        <f t="shared" si="204"/>
        <v>22</v>
      </c>
      <c r="L168" s="32">
        <f t="shared" si="194"/>
        <v>21.515999999999998</v>
      </c>
      <c r="M168" s="74">
        <f t="shared" si="195"/>
        <v>16441.261354340961</v>
      </c>
      <c r="N168" s="88">
        <f t="shared" si="196"/>
        <v>2.7488005481297963E-2</v>
      </c>
      <c r="O168" s="32">
        <v>21.3</v>
      </c>
      <c r="P168" s="13">
        <v>17136</v>
      </c>
      <c r="Q168" s="119">
        <f t="shared" si="197"/>
        <v>-694.73864565903932</v>
      </c>
      <c r="S168" s="13">
        <v>17478</v>
      </c>
      <c r="T168" s="13">
        <f t="shared" si="198"/>
        <v>-1036.7386456590393</v>
      </c>
      <c r="W168" s="124">
        <v>0.4200275</v>
      </c>
      <c r="Y168" s="79">
        <f t="shared" si="199"/>
        <v>6905.7819035104476</v>
      </c>
      <c r="Z168" s="79">
        <f t="shared" si="200"/>
        <v>7197.5912399999997</v>
      </c>
      <c r="AA168" s="79">
        <f t="shared" si="201"/>
        <v>-291.80933648955215</v>
      </c>
      <c r="AB168" s="79">
        <f t="shared" si="202"/>
        <v>7341.2406449999999</v>
      </c>
      <c r="AC168" s="79">
        <f t="shared" si="203"/>
        <v>-435.45874148955215</v>
      </c>
    </row>
    <row r="169" spans="1:29">
      <c r="B169" s="33" t="s">
        <v>20</v>
      </c>
      <c r="C169" s="23"/>
      <c r="D169" s="102"/>
      <c r="E169" s="152"/>
      <c r="F169" s="96"/>
      <c r="G169" s="72"/>
      <c r="H169" s="75">
        <f>+SUBTOTAL(9,H162:H168)</f>
        <v>45418651.329999998</v>
      </c>
      <c r="I169" s="75">
        <f>+SUBTOTAL(9,I162:I168)</f>
        <v>16853240</v>
      </c>
      <c r="J169" s="75">
        <f>+SUBTOTAL(9,J162:J168)</f>
        <v>29126773.066799998</v>
      </c>
      <c r="K169" s="13"/>
      <c r="L169" s="13"/>
      <c r="M169" s="75">
        <f>+SUBTOTAL(9,M162:M168)</f>
        <v>1364423.1384834237</v>
      </c>
      <c r="N169" s="27">
        <f>+ROUND(M169/H169*100,2)</f>
        <v>3</v>
      </c>
      <c r="O169" s="31"/>
      <c r="P169" s="103">
        <f>+SUBTOTAL(9,P162:P168)</f>
        <v>1422198</v>
      </c>
      <c r="Q169" s="120">
        <f>+SUBTOTAL(9,Q162:Q168)</f>
        <v>-57774.861516576108</v>
      </c>
      <c r="S169" s="103">
        <f>+SUBTOTAL(9,S162:S168)</f>
        <v>1645740</v>
      </c>
      <c r="T169" s="103">
        <f>+SUBTOTAL(9,T162:T168)</f>
        <v>-281316.86151657609</v>
      </c>
      <c r="Y169" s="75">
        <f t="shared" ref="Y169:AC169" si="205">+SUBTOTAL(9,Y162:Y168)</f>
        <v>573095.23979934631</v>
      </c>
      <c r="Z169" s="75">
        <f t="shared" si="205"/>
        <v>597362.27044499991</v>
      </c>
      <c r="AA169" s="75">
        <f t="shared" si="205"/>
        <v>-24267.030645653671</v>
      </c>
      <c r="AB169" s="75">
        <f t="shared" si="205"/>
        <v>691256.05784999998</v>
      </c>
      <c r="AC169" s="75">
        <f t="shared" si="205"/>
        <v>-118160.81805065366</v>
      </c>
    </row>
    <row r="170" spans="1:29">
      <c r="C170" s="43"/>
      <c r="E170" s="153"/>
      <c r="F170" s="96"/>
      <c r="G170" s="72"/>
      <c r="I170" s="73"/>
      <c r="J170" s="73"/>
      <c r="K170" s="19"/>
      <c r="L170" s="19"/>
      <c r="M170" s="73"/>
      <c r="N170" s="27"/>
      <c r="O170" s="31"/>
      <c r="P170" s="19"/>
      <c r="S170" s="19"/>
      <c r="T170" s="19"/>
    </row>
    <row r="171" spans="1:29">
      <c r="B171" s="55" t="s">
        <v>89</v>
      </c>
      <c r="C171" s="43"/>
      <c r="E171" s="153"/>
      <c r="F171" s="96"/>
      <c r="G171" s="72"/>
      <c r="I171" s="73"/>
      <c r="J171" s="73"/>
      <c r="K171" s="19"/>
      <c r="L171" s="19"/>
      <c r="M171" s="73"/>
      <c r="N171" s="27"/>
      <c r="O171" s="31"/>
      <c r="P171" s="19"/>
      <c r="S171" s="19"/>
      <c r="T171" s="19"/>
    </row>
    <row r="172" spans="1:29">
      <c r="A172" s="20">
        <v>331</v>
      </c>
      <c r="B172" s="15" t="s">
        <v>162</v>
      </c>
      <c r="C172" s="138">
        <v>42735</v>
      </c>
      <c r="D172" s="102">
        <v>2E-3</v>
      </c>
      <c r="E172" s="152">
        <v>2E-3</v>
      </c>
      <c r="F172" s="97">
        <v>0</v>
      </c>
      <c r="G172" s="91">
        <f t="shared" ref="G172:G177" si="206">H172*F172</f>
        <v>0</v>
      </c>
      <c r="H172" s="74">
        <v>57076.38</v>
      </c>
      <c r="I172" s="74">
        <v>53749</v>
      </c>
      <c r="J172" s="74">
        <f t="shared" ref="J172:J177" si="207">H172-G172-I172</f>
        <v>3327.3799999999974</v>
      </c>
      <c r="K172" s="13">
        <f>2016-2011</f>
        <v>5</v>
      </c>
      <c r="L172" s="32">
        <f t="shared" ref="L172:L177" si="208">(1-(D172/2)*K172)*K172</f>
        <v>4.9749999999999996</v>
      </c>
      <c r="M172" s="74">
        <f t="shared" ref="M172:M177" si="209">J172/L172</f>
        <v>668.8201005025121</v>
      </c>
      <c r="N172" s="68">
        <f t="shared" ref="N172:N177" si="210">M172/H172</f>
        <v>1.1717983875335333E-2</v>
      </c>
      <c r="O172" s="32">
        <v>5</v>
      </c>
      <c r="P172" s="13">
        <v>784</v>
      </c>
      <c r="Q172" s="119">
        <f t="shared" ref="Q172:Q177" si="211">M172-P172</f>
        <v>-115.1798994974879</v>
      </c>
      <c r="S172" s="13">
        <v>1180</v>
      </c>
      <c r="T172" s="13">
        <f t="shared" ref="T172:T177" si="212">M172-S172</f>
        <v>-511.1798994974879</v>
      </c>
      <c r="W172" s="124">
        <v>0.4200275</v>
      </c>
      <c r="Y172" s="79">
        <f t="shared" ref="Y172:Y177" si="213">M172*W172</f>
        <v>280.92283476381891</v>
      </c>
      <c r="Z172" s="79">
        <f t="shared" ref="Z172:Z177" si="214">P172*W172</f>
        <v>329.30155999999999</v>
      </c>
      <c r="AA172" s="79">
        <f t="shared" ref="AA172:AA177" si="215">Q172*W172</f>
        <v>-48.378725236181097</v>
      </c>
      <c r="AB172" s="79">
        <f t="shared" ref="AB172:AB177" si="216">S172*W172</f>
        <v>495.63245000000001</v>
      </c>
      <c r="AC172" s="79">
        <f t="shared" ref="AC172:AC177" si="217">T172*W172</f>
        <v>-214.70961523618109</v>
      </c>
    </row>
    <row r="173" spans="1:29">
      <c r="A173" s="20">
        <v>332</v>
      </c>
      <c r="B173" s="16" t="s">
        <v>163</v>
      </c>
      <c r="C173" s="138">
        <v>42735</v>
      </c>
      <c r="D173" s="102">
        <v>1.5E-3</v>
      </c>
      <c r="E173" s="152">
        <v>1.5E-3</v>
      </c>
      <c r="F173" s="97">
        <v>0</v>
      </c>
      <c r="G173" s="91">
        <f t="shared" si="206"/>
        <v>0</v>
      </c>
      <c r="H173" s="74">
        <v>532904.86</v>
      </c>
      <c r="I173" s="74">
        <v>253003</v>
      </c>
      <c r="J173" s="74">
        <f t="shared" si="207"/>
        <v>279901.86</v>
      </c>
      <c r="K173" s="13">
        <f t="shared" ref="K173:K177" si="218">2016-2011</f>
        <v>5</v>
      </c>
      <c r="L173" s="32">
        <f t="shared" si="208"/>
        <v>4.9812500000000002</v>
      </c>
      <c r="M173" s="74">
        <f t="shared" si="209"/>
        <v>56191.088582183183</v>
      </c>
      <c r="N173" s="68">
        <f t="shared" si="210"/>
        <v>0.10544300268191059</v>
      </c>
      <c r="O173" s="32">
        <v>5</v>
      </c>
      <c r="P173" s="13">
        <v>56093</v>
      </c>
      <c r="Q173" s="119">
        <f t="shared" si="211"/>
        <v>98.088582183183462</v>
      </c>
      <c r="S173" s="13">
        <v>93670</v>
      </c>
      <c r="T173" s="13">
        <f t="shared" si="212"/>
        <v>-37478.911417816817</v>
      </c>
      <c r="W173" s="124">
        <v>0.4200275</v>
      </c>
      <c r="Y173" s="79">
        <f t="shared" si="213"/>
        <v>23601.802459452945</v>
      </c>
      <c r="Z173" s="79">
        <f t="shared" si="214"/>
        <v>23560.602557499999</v>
      </c>
      <c r="AA173" s="79">
        <f t="shared" si="215"/>
        <v>41.199901952947094</v>
      </c>
      <c r="AB173" s="79">
        <f t="shared" si="216"/>
        <v>39343.975924999999</v>
      </c>
      <c r="AC173" s="79">
        <f t="shared" si="217"/>
        <v>-15742.173465547054</v>
      </c>
    </row>
    <row r="174" spans="1:29">
      <c r="A174" s="20">
        <v>333</v>
      </c>
      <c r="B174" s="16" t="s">
        <v>381</v>
      </c>
      <c r="C174" s="138">
        <v>42735</v>
      </c>
      <c r="D174" s="102">
        <v>4.4999999999999997E-3</v>
      </c>
      <c r="E174" s="152">
        <v>4.4999999999999997E-3</v>
      </c>
      <c r="F174" s="97">
        <v>0</v>
      </c>
      <c r="G174" s="91">
        <f t="shared" si="206"/>
        <v>0</v>
      </c>
      <c r="H174" s="74">
        <v>97110.43</v>
      </c>
      <c r="I174" s="74">
        <v>79690</v>
      </c>
      <c r="J174" s="74">
        <f t="shared" si="207"/>
        <v>17420.429999999993</v>
      </c>
      <c r="K174" s="13">
        <f t="shared" si="218"/>
        <v>5</v>
      </c>
      <c r="L174" s="32">
        <f t="shared" si="208"/>
        <v>4.9437499999999996</v>
      </c>
      <c r="M174" s="74">
        <f t="shared" si="209"/>
        <v>3523.7279393173185</v>
      </c>
      <c r="N174" s="68">
        <f t="shared" si="210"/>
        <v>3.6285782477920435E-2</v>
      </c>
      <c r="O174" s="32">
        <v>5</v>
      </c>
      <c r="P174" s="13">
        <v>3881</v>
      </c>
      <c r="Q174" s="119">
        <f t="shared" si="211"/>
        <v>-357.27206068268151</v>
      </c>
      <c r="S174" s="13">
        <v>6454</v>
      </c>
      <c r="T174" s="13">
        <f t="shared" si="212"/>
        <v>-2930.2720606826815</v>
      </c>
      <c r="W174" s="124">
        <v>0.4200275</v>
      </c>
      <c r="Y174" s="79">
        <f t="shared" si="213"/>
        <v>1480.0626370316049</v>
      </c>
      <c r="Z174" s="79">
        <f t="shared" si="214"/>
        <v>1630.1267275</v>
      </c>
      <c r="AA174" s="79">
        <f t="shared" si="215"/>
        <v>-150.06409046839502</v>
      </c>
      <c r="AB174" s="79">
        <f t="shared" si="216"/>
        <v>2710.857485</v>
      </c>
      <c r="AC174" s="79">
        <f t="shared" si="217"/>
        <v>-1230.7948479683951</v>
      </c>
    </row>
    <row r="175" spans="1:29">
      <c r="A175" s="20">
        <v>334</v>
      </c>
      <c r="B175" s="16" t="s">
        <v>13</v>
      </c>
      <c r="C175" s="138">
        <v>42735</v>
      </c>
      <c r="D175" s="102">
        <v>5.0000000000000001E-3</v>
      </c>
      <c r="E175" s="152">
        <v>4.0000000000000001E-3</v>
      </c>
      <c r="F175" s="97">
        <v>0</v>
      </c>
      <c r="G175" s="91">
        <f t="shared" si="206"/>
        <v>0</v>
      </c>
      <c r="H175" s="74">
        <v>627584.39</v>
      </c>
      <c r="I175" s="74">
        <v>566062</v>
      </c>
      <c r="J175" s="74">
        <f t="shared" si="207"/>
        <v>61522.390000000014</v>
      </c>
      <c r="K175" s="13">
        <f t="shared" si="218"/>
        <v>5</v>
      </c>
      <c r="L175" s="32">
        <f t="shared" si="208"/>
        <v>4.9375</v>
      </c>
      <c r="M175" s="74">
        <f t="shared" si="209"/>
        <v>12460.230886075953</v>
      </c>
      <c r="N175" s="68">
        <f t="shared" si="210"/>
        <v>1.9854271528448871E-2</v>
      </c>
      <c r="O175" s="32">
        <v>4.9000000000000004</v>
      </c>
      <c r="P175" s="13">
        <v>13897</v>
      </c>
      <c r="Q175" s="119">
        <f t="shared" si="211"/>
        <v>-1436.7691139240469</v>
      </c>
      <c r="S175" s="13">
        <v>21715</v>
      </c>
      <c r="T175" s="13">
        <f t="shared" si="212"/>
        <v>-9254.7691139240469</v>
      </c>
      <c r="W175" s="124">
        <v>0.4200275</v>
      </c>
      <c r="Y175" s="79">
        <f t="shared" si="213"/>
        <v>5233.639628501267</v>
      </c>
      <c r="Z175" s="79">
        <f t="shared" si="214"/>
        <v>5837.1221674999997</v>
      </c>
      <c r="AA175" s="79">
        <f t="shared" si="215"/>
        <v>-603.48253899873259</v>
      </c>
      <c r="AB175" s="79">
        <f t="shared" si="216"/>
        <v>9120.8971624999995</v>
      </c>
      <c r="AC175" s="79">
        <f t="shared" si="217"/>
        <v>-3887.2575339987325</v>
      </c>
    </row>
    <row r="176" spans="1:29">
      <c r="A176" s="20">
        <v>335</v>
      </c>
      <c r="B176" s="15" t="s">
        <v>378</v>
      </c>
      <c r="C176" s="138">
        <v>42735</v>
      </c>
      <c r="D176" s="102">
        <v>7.0000000000000001E-3</v>
      </c>
      <c r="E176" s="152">
        <v>6.0000000000000001E-3</v>
      </c>
      <c r="F176" s="97">
        <v>0</v>
      </c>
      <c r="G176" s="91">
        <f t="shared" si="206"/>
        <v>0</v>
      </c>
      <c r="H176" s="74">
        <v>15383.82</v>
      </c>
      <c r="I176" s="74">
        <v>11669</v>
      </c>
      <c r="J176" s="74">
        <f t="shared" si="207"/>
        <v>3714.8199999999997</v>
      </c>
      <c r="K176" s="13">
        <f t="shared" si="218"/>
        <v>5</v>
      </c>
      <c r="L176" s="32">
        <f t="shared" si="208"/>
        <v>4.9125000000000005</v>
      </c>
      <c r="M176" s="74">
        <f t="shared" si="209"/>
        <v>756.19745547073774</v>
      </c>
      <c r="N176" s="68">
        <f t="shared" si="210"/>
        <v>4.9155375938533974E-2</v>
      </c>
      <c r="O176" s="32">
        <v>4.9000000000000004</v>
      </c>
      <c r="P176" s="13">
        <v>754</v>
      </c>
      <c r="Q176" s="119">
        <f t="shared" si="211"/>
        <v>2.1974554707377365</v>
      </c>
      <c r="S176" s="13">
        <v>514</v>
      </c>
      <c r="T176" s="13">
        <f t="shared" si="212"/>
        <v>242.19745547073774</v>
      </c>
      <c r="W176" s="124">
        <v>0.4200275</v>
      </c>
      <c r="Y176" s="79">
        <f t="shared" si="213"/>
        <v>317.62372672773529</v>
      </c>
      <c r="Z176" s="79">
        <f t="shared" si="214"/>
        <v>316.70073500000001</v>
      </c>
      <c r="AA176" s="79">
        <f t="shared" si="215"/>
        <v>0.92299172773529459</v>
      </c>
      <c r="AB176" s="79">
        <f t="shared" si="216"/>
        <v>215.89413500000001</v>
      </c>
      <c r="AC176" s="79">
        <f t="shared" si="217"/>
        <v>101.7295917277353</v>
      </c>
    </row>
    <row r="177" spans="1:29">
      <c r="A177" s="20">
        <v>336</v>
      </c>
      <c r="B177" s="16" t="s">
        <v>164</v>
      </c>
      <c r="C177" s="138">
        <v>42735</v>
      </c>
      <c r="D177" s="102">
        <v>2E-3</v>
      </c>
      <c r="E177" s="152">
        <v>0.01</v>
      </c>
      <c r="F177" s="97">
        <v>0</v>
      </c>
      <c r="G177" s="91">
        <f t="shared" si="206"/>
        <v>0</v>
      </c>
      <c r="H177" s="74">
        <v>174.4</v>
      </c>
      <c r="I177" s="74">
        <v>176</v>
      </c>
      <c r="J177" s="74">
        <f t="shared" si="207"/>
        <v>-1.5999999999999943</v>
      </c>
      <c r="K177" s="13">
        <f t="shared" si="218"/>
        <v>5</v>
      </c>
      <c r="L177" s="32">
        <f t="shared" si="208"/>
        <v>4.9749999999999996</v>
      </c>
      <c r="M177" s="74">
        <f t="shared" si="209"/>
        <v>-0.32160804020100392</v>
      </c>
      <c r="N177" s="88">
        <f t="shared" si="210"/>
        <v>-1.8440827993176829E-3</v>
      </c>
      <c r="O177" s="32">
        <v>0</v>
      </c>
      <c r="P177" s="13">
        <v>0</v>
      </c>
      <c r="Q177" s="119">
        <f t="shared" si="211"/>
        <v>-0.32160804020100392</v>
      </c>
      <c r="S177" s="13">
        <v>0</v>
      </c>
      <c r="T177" s="13">
        <f t="shared" si="212"/>
        <v>-0.32160804020100392</v>
      </c>
      <c r="W177" s="124">
        <v>0.4200275</v>
      </c>
      <c r="Y177" s="79">
        <f t="shared" si="213"/>
        <v>-0.13508422110552717</v>
      </c>
      <c r="Z177" s="79">
        <f t="shared" si="214"/>
        <v>0</v>
      </c>
      <c r="AA177" s="79">
        <f t="shared" si="215"/>
        <v>-0.13508422110552717</v>
      </c>
      <c r="AB177" s="79">
        <f t="shared" si="216"/>
        <v>0</v>
      </c>
      <c r="AC177" s="79">
        <f t="shared" si="217"/>
        <v>-0.13508422110552717</v>
      </c>
    </row>
    <row r="178" spans="1:29">
      <c r="B178" s="33" t="s">
        <v>90</v>
      </c>
      <c r="C178" s="23"/>
      <c r="D178" s="102"/>
      <c r="E178" s="152"/>
      <c r="F178" s="96"/>
      <c r="G178" s="72"/>
      <c r="H178" s="75">
        <f>+SUBTOTAL(9,H171:H177)</f>
        <v>1330234.28</v>
      </c>
      <c r="I178" s="75">
        <f>+SUBTOTAL(9,I171:I177)</f>
        <v>964349</v>
      </c>
      <c r="J178" s="75">
        <f>+SUBTOTAL(9,J171:J177)</f>
        <v>365885.28</v>
      </c>
      <c r="K178" s="13"/>
      <c r="L178" s="13"/>
      <c r="M178" s="75">
        <f>+SUBTOTAL(9,M171:M177)</f>
        <v>73599.743355509505</v>
      </c>
      <c r="N178" s="27">
        <f>+ROUND(M178/H178*100,2)</f>
        <v>5.53</v>
      </c>
      <c r="O178" s="31"/>
      <c r="P178" s="103">
        <f>+SUBTOTAL(9,P171:P177)</f>
        <v>75409</v>
      </c>
      <c r="Q178" s="120">
        <f>+SUBTOTAL(9,Q171:Q177)</f>
        <v>-1809.2566444904962</v>
      </c>
      <c r="S178" s="103">
        <f>+SUBTOTAL(9,S171:S177)</f>
        <v>123533</v>
      </c>
      <c r="T178" s="103">
        <f>+SUBTOTAL(9,T171:T177)</f>
        <v>-49933.256644490495</v>
      </c>
      <c r="Y178" s="75">
        <f t="shared" ref="Y178:AC178" si="219">+SUBTOTAL(9,Y171:Y177)</f>
        <v>30913.916202256267</v>
      </c>
      <c r="Z178" s="75">
        <f t="shared" si="219"/>
        <v>31673.853747499998</v>
      </c>
      <c r="AA178" s="75">
        <f t="shared" si="219"/>
        <v>-759.93754524373196</v>
      </c>
      <c r="AB178" s="75">
        <f t="shared" si="219"/>
        <v>51887.257157499997</v>
      </c>
      <c r="AC178" s="75">
        <f t="shared" si="219"/>
        <v>-20973.340955243733</v>
      </c>
    </row>
    <row r="179" spans="1:29">
      <c r="C179" s="43"/>
      <c r="E179" s="153"/>
      <c r="F179" s="96"/>
      <c r="G179" s="72"/>
      <c r="I179" s="73"/>
      <c r="J179" s="73"/>
      <c r="K179" s="19"/>
      <c r="L179" s="19"/>
      <c r="M179" s="73"/>
      <c r="N179" s="27"/>
      <c r="O179" s="31"/>
      <c r="P179" s="19"/>
      <c r="S179" s="19"/>
      <c r="T179" s="19"/>
    </row>
    <row r="180" spans="1:29">
      <c r="B180" s="55" t="s">
        <v>21</v>
      </c>
      <c r="C180" s="43"/>
      <c r="E180" s="153"/>
      <c r="F180" s="96"/>
      <c r="G180" s="72"/>
      <c r="I180" s="73"/>
      <c r="J180" s="73"/>
      <c r="K180" s="19"/>
      <c r="L180" s="19"/>
      <c r="M180" s="73"/>
      <c r="N180" s="27"/>
      <c r="O180" s="31"/>
      <c r="P180" s="19"/>
      <c r="S180" s="19"/>
      <c r="T180" s="19"/>
    </row>
    <row r="181" spans="1:29">
      <c r="A181" s="20">
        <v>331</v>
      </c>
      <c r="B181" s="15" t="s">
        <v>162</v>
      </c>
      <c r="C181" s="138">
        <v>56249</v>
      </c>
      <c r="D181" s="102">
        <v>2E-3</v>
      </c>
      <c r="E181" s="152">
        <v>2E-3</v>
      </c>
      <c r="F181" s="97">
        <v>-0.02</v>
      </c>
      <c r="G181" s="91">
        <f t="shared" ref="G181:G185" si="220">H181*F181</f>
        <v>-12127.825800000001</v>
      </c>
      <c r="H181" s="74">
        <v>606391.29</v>
      </c>
      <c r="I181" s="74">
        <v>307876</v>
      </c>
      <c r="J181" s="74">
        <f t="shared" ref="J181:J185" si="221">H181-G181-I181</f>
        <v>310643.11580000003</v>
      </c>
      <c r="K181" s="13">
        <f>2053-2011</f>
        <v>42</v>
      </c>
      <c r="L181" s="32">
        <f>(1-(D181/2)*K181)*K181</f>
        <v>40.235999999999997</v>
      </c>
      <c r="M181" s="74">
        <f>J181/L181</f>
        <v>7720.5267869569552</v>
      </c>
      <c r="N181" s="68">
        <f>M181/H181</f>
        <v>1.2731922298812957E-2</v>
      </c>
      <c r="O181" s="32">
        <v>40.200000000000003</v>
      </c>
      <c r="P181" s="13">
        <v>8183</v>
      </c>
      <c r="Q181" s="119">
        <f t="shared" ref="Q181:Q185" si="222">M181-P181</f>
        <v>-462.47321304304478</v>
      </c>
      <c r="S181" s="13">
        <v>8525</v>
      </c>
      <c r="T181" s="13">
        <f t="shared" ref="T181:T185" si="223">M181-S181</f>
        <v>-804.47321304304478</v>
      </c>
      <c r="W181" s="124">
        <v>0.4200275</v>
      </c>
      <c r="Y181" s="79">
        <f t="shared" ref="Y181:Y185" si="224">M181*W181</f>
        <v>3242.8335650085623</v>
      </c>
      <c r="Z181" s="79">
        <f t="shared" ref="Z181:Z185" si="225">P181*W181</f>
        <v>3437.0850325000001</v>
      </c>
      <c r="AA181" s="79">
        <f t="shared" ref="AA181:AA185" si="226">Q181*W181</f>
        <v>-194.2514674914375</v>
      </c>
      <c r="AB181" s="79">
        <f t="shared" ref="AB181:AB185" si="227">S181*W181</f>
        <v>3580.7344374999998</v>
      </c>
      <c r="AC181" s="79">
        <f t="shared" ref="AC181:AC185" si="228">T181*W181</f>
        <v>-337.9008724914375</v>
      </c>
    </row>
    <row r="182" spans="1:29">
      <c r="A182" s="20">
        <v>332</v>
      </c>
      <c r="B182" s="16" t="s">
        <v>163</v>
      </c>
      <c r="C182" s="138">
        <v>56249</v>
      </c>
      <c r="D182" s="102">
        <v>1.5E-3</v>
      </c>
      <c r="E182" s="152">
        <v>1.5E-3</v>
      </c>
      <c r="F182" s="97">
        <v>-0.01</v>
      </c>
      <c r="G182" s="91">
        <f t="shared" si="220"/>
        <v>-46969.985800000002</v>
      </c>
      <c r="H182" s="74">
        <v>4696998.58</v>
      </c>
      <c r="I182" s="74">
        <v>2448184</v>
      </c>
      <c r="J182" s="74">
        <f t="shared" si="221"/>
        <v>2295784.5658</v>
      </c>
      <c r="K182" s="13">
        <f t="shared" ref="K182:K185" si="229">2053-2011</f>
        <v>42</v>
      </c>
      <c r="L182" s="32">
        <f>(1-(D182/2)*K182)*K182</f>
        <v>40.677</v>
      </c>
      <c r="M182" s="74">
        <f>J182/L182</f>
        <v>56439.377677803182</v>
      </c>
      <c r="N182" s="68">
        <f>M182/H182</f>
        <v>1.2016051679922625E-2</v>
      </c>
      <c r="O182" s="32">
        <v>40.6</v>
      </c>
      <c r="P182" s="13">
        <v>59979</v>
      </c>
      <c r="Q182" s="119">
        <f t="shared" si="222"/>
        <v>-3539.6223221968175</v>
      </c>
      <c r="S182" s="13">
        <v>60407</v>
      </c>
      <c r="T182" s="13">
        <f t="shared" si="223"/>
        <v>-3967.6223221968175</v>
      </c>
      <c r="W182" s="124">
        <v>0.4200275</v>
      </c>
      <c r="Y182" s="79">
        <f t="shared" si="224"/>
        <v>23706.090707563475</v>
      </c>
      <c r="Z182" s="79">
        <f t="shared" si="225"/>
        <v>25192.829422499999</v>
      </c>
      <c r="AA182" s="79">
        <f t="shared" si="226"/>
        <v>-1486.7387149365238</v>
      </c>
      <c r="AB182" s="79">
        <f t="shared" si="227"/>
        <v>25372.601192499998</v>
      </c>
      <c r="AC182" s="79">
        <f t="shared" si="228"/>
        <v>-1666.5104849365239</v>
      </c>
    </row>
    <row r="183" spans="1:29">
      <c r="A183" s="20">
        <v>333</v>
      </c>
      <c r="B183" s="16" t="s">
        <v>381</v>
      </c>
      <c r="C183" s="138">
        <v>56249</v>
      </c>
      <c r="D183" s="102">
        <v>4.4999999999999997E-3</v>
      </c>
      <c r="E183" s="152">
        <v>4.4999999999999997E-3</v>
      </c>
      <c r="F183" s="97">
        <v>-0.04</v>
      </c>
      <c r="G183" s="91">
        <f t="shared" si="220"/>
        <v>-59820.032400000004</v>
      </c>
      <c r="H183" s="74">
        <v>1495500.81</v>
      </c>
      <c r="I183" s="74">
        <v>769672</v>
      </c>
      <c r="J183" s="74">
        <f t="shared" si="221"/>
        <v>785648.84239999996</v>
      </c>
      <c r="K183" s="13">
        <f t="shared" si="229"/>
        <v>42</v>
      </c>
      <c r="L183" s="32">
        <f>(1-(D183/2)*K183)*K183</f>
        <v>38.030999999999999</v>
      </c>
      <c r="M183" s="74">
        <f>J183/L183</f>
        <v>20658.116862559491</v>
      </c>
      <c r="N183" s="68">
        <f>M183/H183</f>
        <v>1.3813510982023132E-2</v>
      </c>
      <c r="O183" s="32">
        <v>39.1</v>
      </c>
      <c r="P183" s="13">
        <v>21981</v>
      </c>
      <c r="Q183" s="119">
        <f t="shared" si="222"/>
        <v>-1322.883137440509</v>
      </c>
      <c r="S183" s="13">
        <v>21795</v>
      </c>
      <c r="T183" s="13">
        <f t="shared" si="223"/>
        <v>-1136.883137440509</v>
      </c>
      <c r="W183" s="124">
        <v>0.4200275</v>
      </c>
      <c r="Y183" s="79">
        <f t="shared" si="224"/>
        <v>8676.9771804887059</v>
      </c>
      <c r="Z183" s="79">
        <f t="shared" si="225"/>
        <v>9232.6244774999996</v>
      </c>
      <c r="AA183" s="79">
        <f t="shared" si="226"/>
        <v>-555.6472970112934</v>
      </c>
      <c r="AB183" s="79">
        <f t="shared" si="227"/>
        <v>9154.4993625000006</v>
      </c>
      <c r="AC183" s="79">
        <f t="shared" si="228"/>
        <v>-477.52218201129341</v>
      </c>
    </row>
    <row r="184" spans="1:29">
      <c r="A184" s="20">
        <v>334</v>
      </c>
      <c r="B184" s="16" t="s">
        <v>13</v>
      </c>
      <c r="C184" s="138">
        <v>56249</v>
      </c>
      <c r="D184" s="102">
        <v>5.0000000000000001E-3</v>
      </c>
      <c r="E184" s="152">
        <v>4.0000000000000001E-3</v>
      </c>
      <c r="F184" s="97">
        <v>-0.02</v>
      </c>
      <c r="G184" s="91">
        <f t="shared" si="220"/>
        <v>-6010.3040000000001</v>
      </c>
      <c r="H184" s="74">
        <v>300515.20000000001</v>
      </c>
      <c r="I184" s="74">
        <v>174744</v>
      </c>
      <c r="J184" s="74">
        <f t="shared" si="221"/>
        <v>131781.50400000002</v>
      </c>
      <c r="K184" s="13">
        <f t="shared" si="229"/>
        <v>42</v>
      </c>
      <c r="L184" s="32">
        <f>(1-(D184/2)*K184)*K184</f>
        <v>37.590000000000003</v>
      </c>
      <c r="M184" s="74">
        <f>J184/L184</f>
        <v>3505.7596169193935</v>
      </c>
      <c r="N184" s="68">
        <f>M184/H184</f>
        <v>1.1665831268832303E-2</v>
      </c>
      <c r="O184" s="32">
        <v>34.799999999999997</v>
      </c>
      <c r="P184" s="13">
        <v>4302</v>
      </c>
      <c r="Q184" s="119">
        <f t="shared" si="222"/>
        <v>-796.24038308060653</v>
      </c>
      <c r="S184" s="13">
        <v>4475</v>
      </c>
      <c r="T184" s="13">
        <f t="shared" si="223"/>
        <v>-969.24038308060653</v>
      </c>
      <c r="W184" s="124">
        <v>0.4200275</v>
      </c>
      <c r="Y184" s="79">
        <f t="shared" si="224"/>
        <v>1472.5154474956105</v>
      </c>
      <c r="Z184" s="79">
        <f t="shared" si="225"/>
        <v>1806.9583049999999</v>
      </c>
      <c r="AA184" s="79">
        <f t="shared" si="226"/>
        <v>-334.44285750438945</v>
      </c>
      <c r="AB184" s="79">
        <f t="shared" si="227"/>
        <v>1879.6230625000001</v>
      </c>
      <c r="AC184" s="79">
        <f t="shared" si="228"/>
        <v>-407.10761500438946</v>
      </c>
    </row>
    <row r="185" spans="1:29">
      <c r="A185" s="20">
        <v>336</v>
      </c>
      <c r="B185" s="16" t="s">
        <v>164</v>
      </c>
      <c r="C185" s="138">
        <v>56249</v>
      </c>
      <c r="D185" s="102">
        <v>2E-3</v>
      </c>
      <c r="E185" s="152">
        <v>0.01</v>
      </c>
      <c r="F185" s="97">
        <v>-0.02</v>
      </c>
      <c r="G185" s="91">
        <f t="shared" si="220"/>
        <v>-4642.6610000000001</v>
      </c>
      <c r="H185" s="74">
        <v>232133.05</v>
      </c>
      <c r="I185" s="74">
        <v>52429</v>
      </c>
      <c r="J185" s="74">
        <f t="shared" si="221"/>
        <v>184346.71099999998</v>
      </c>
      <c r="K185" s="13">
        <f t="shared" si="229"/>
        <v>42</v>
      </c>
      <c r="L185" s="32">
        <f>(1-(D185/2)*K185)*K185</f>
        <v>40.235999999999997</v>
      </c>
      <c r="M185" s="74">
        <f>J185/L185</f>
        <v>4581.6361218809025</v>
      </c>
      <c r="N185" s="88">
        <f>M185/H185</f>
        <v>1.9737112495962564E-2</v>
      </c>
      <c r="O185" s="32">
        <v>40.299999999999997</v>
      </c>
      <c r="P185" s="13">
        <v>4694</v>
      </c>
      <c r="Q185" s="119">
        <f t="shared" si="222"/>
        <v>-112.36387811909754</v>
      </c>
      <c r="S185" s="13">
        <v>4932</v>
      </c>
      <c r="T185" s="13">
        <f t="shared" si="223"/>
        <v>-350.36387811909754</v>
      </c>
      <c r="W185" s="124">
        <v>0.4200275</v>
      </c>
      <c r="Y185" s="79">
        <f t="shared" si="224"/>
        <v>1924.4131661833308</v>
      </c>
      <c r="Z185" s="79">
        <f t="shared" si="225"/>
        <v>1971.6090850000001</v>
      </c>
      <c r="AA185" s="79">
        <f t="shared" si="226"/>
        <v>-47.195918816669241</v>
      </c>
      <c r="AB185" s="79">
        <f t="shared" si="227"/>
        <v>2071.5756299999998</v>
      </c>
      <c r="AC185" s="79">
        <f t="shared" si="228"/>
        <v>-147.16246381666923</v>
      </c>
    </row>
    <row r="186" spans="1:29">
      <c r="B186" s="33" t="s">
        <v>22</v>
      </c>
      <c r="C186" s="23"/>
      <c r="D186" s="102"/>
      <c r="F186" s="96"/>
      <c r="G186" s="72"/>
      <c r="H186" s="75">
        <f>+SUBTOTAL(9,H179:H185)</f>
        <v>7331538.9299999997</v>
      </c>
      <c r="I186" s="75">
        <f>+SUBTOTAL(9,I179:I185)</f>
        <v>3752905</v>
      </c>
      <c r="J186" s="75">
        <f>+SUBTOTAL(9,J179:J185)</f>
        <v>3708204.7390000001</v>
      </c>
      <c r="K186" s="13"/>
      <c r="L186" s="13"/>
      <c r="M186" s="75">
        <f>+SUBTOTAL(9,M179:M185)</f>
        <v>92905.417066119931</v>
      </c>
      <c r="N186" s="27">
        <f>+ROUND(M186/H186*100,2)</f>
        <v>1.27</v>
      </c>
      <c r="O186" s="31"/>
      <c r="P186" s="103">
        <f>+SUBTOTAL(9,P179:P185)</f>
        <v>99139</v>
      </c>
      <c r="Q186" s="120">
        <f>+SUBTOTAL(9,Q179:Q185)</f>
        <v>-6233.582933880075</v>
      </c>
      <c r="S186" s="103">
        <f>+SUBTOTAL(9,S179:S185)</f>
        <v>100134</v>
      </c>
      <c r="T186" s="103">
        <f>+SUBTOTAL(9,T179:T185)</f>
        <v>-7228.582933880075</v>
      </c>
      <c r="Y186" s="75">
        <f t="shared" ref="Y186:AC186" si="230">+SUBTOTAL(9,Y179:Y185)</f>
        <v>39022.830066739676</v>
      </c>
      <c r="Z186" s="75">
        <f t="shared" si="230"/>
        <v>41641.106322499996</v>
      </c>
      <c r="AA186" s="75">
        <f t="shared" si="230"/>
        <v>-2618.2762557603137</v>
      </c>
      <c r="AB186" s="75">
        <f t="shared" si="230"/>
        <v>42059.033685000002</v>
      </c>
      <c r="AC186" s="75">
        <f t="shared" si="230"/>
        <v>-3036.2036182603133</v>
      </c>
    </row>
    <row r="187" spans="1:29">
      <c r="C187" s="43"/>
      <c r="F187" s="96"/>
      <c r="G187" s="72"/>
      <c r="I187" s="73"/>
      <c r="J187" s="73"/>
      <c r="K187" s="19"/>
      <c r="L187" s="19"/>
      <c r="M187" s="73"/>
      <c r="N187" s="27"/>
      <c r="O187" s="31"/>
      <c r="P187" s="19"/>
      <c r="S187" s="19"/>
      <c r="T187" s="19"/>
    </row>
    <row r="188" spans="1:29">
      <c r="B188" s="55" t="s">
        <v>23</v>
      </c>
      <c r="C188" s="43"/>
      <c r="F188" s="96"/>
      <c r="G188" s="72"/>
      <c r="I188" s="73"/>
      <c r="J188" s="73"/>
      <c r="K188" s="19"/>
      <c r="L188" s="19"/>
      <c r="M188" s="73"/>
      <c r="N188" s="27"/>
      <c r="O188" s="31"/>
      <c r="P188" s="19"/>
      <c r="S188" s="19"/>
      <c r="T188" s="19"/>
    </row>
    <row r="189" spans="1:29">
      <c r="A189" s="20">
        <v>330.2</v>
      </c>
      <c r="B189" s="16" t="s">
        <v>10</v>
      </c>
      <c r="C189" s="138"/>
      <c r="D189" s="102"/>
      <c r="E189" s="160" t="s">
        <v>287</v>
      </c>
      <c r="F189" s="160"/>
      <c r="G189" s="91"/>
      <c r="H189" s="74">
        <v>172.28</v>
      </c>
      <c r="I189" s="74">
        <v>172</v>
      </c>
      <c r="J189" s="74">
        <f t="shared" ref="J189:J196" si="231">H189-G189-I189</f>
        <v>0.28000000000000114</v>
      </c>
      <c r="K189" s="13"/>
      <c r="L189" s="13"/>
      <c r="M189" s="74">
        <v>0</v>
      </c>
      <c r="N189" s="18">
        <v>0</v>
      </c>
      <c r="O189" s="18">
        <v>0</v>
      </c>
      <c r="P189" s="13">
        <v>0</v>
      </c>
      <c r="S189" s="13"/>
      <c r="T189" s="13"/>
    </row>
    <row r="190" spans="1:29">
      <c r="A190" s="20">
        <v>330.4</v>
      </c>
      <c r="B190" s="16" t="s">
        <v>24</v>
      </c>
      <c r="C190" s="138"/>
      <c r="D190" s="102"/>
      <c r="E190" s="160" t="s">
        <v>287</v>
      </c>
      <c r="F190" s="160"/>
      <c r="G190" s="91"/>
      <c r="H190" s="74">
        <v>2963.75</v>
      </c>
      <c r="I190" s="74">
        <v>2964</v>
      </c>
      <c r="J190" s="74">
        <f t="shared" si="231"/>
        <v>-0.25</v>
      </c>
      <c r="K190" s="13"/>
      <c r="L190" s="13"/>
      <c r="M190" s="74">
        <v>0</v>
      </c>
      <c r="N190" s="18">
        <v>0</v>
      </c>
      <c r="O190" s="18">
        <v>0</v>
      </c>
      <c r="P190" s="13">
        <v>0</v>
      </c>
      <c r="S190" s="13"/>
      <c r="T190" s="13"/>
    </row>
    <row r="191" spans="1:29">
      <c r="A191" s="20">
        <v>331</v>
      </c>
      <c r="B191" s="15" t="s">
        <v>162</v>
      </c>
      <c r="C191" s="138"/>
      <c r="D191" s="102"/>
      <c r="E191" s="160" t="s">
        <v>287</v>
      </c>
      <c r="F191" s="160"/>
      <c r="G191" s="91"/>
      <c r="H191" s="74">
        <v>1038010.77</v>
      </c>
      <c r="I191" s="74">
        <v>1012852</v>
      </c>
      <c r="J191" s="74">
        <f t="shared" si="231"/>
        <v>25158.770000000019</v>
      </c>
      <c r="K191" s="13"/>
      <c r="L191" s="13"/>
      <c r="M191" s="74">
        <v>0</v>
      </c>
      <c r="N191" s="18">
        <v>0</v>
      </c>
      <c r="O191" s="18">
        <v>0</v>
      </c>
      <c r="P191" s="13">
        <v>0</v>
      </c>
      <c r="S191" s="13"/>
      <c r="T191" s="13"/>
    </row>
    <row r="192" spans="1:29">
      <c r="A192" s="20">
        <v>332</v>
      </c>
      <c r="B192" s="16" t="s">
        <v>163</v>
      </c>
      <c r="C192" s="138"/>
      <c r="D192" s="102"/>
      <c r="E192" s="160" t="s">
        <v>287</v>
      </c>
      <c r="F192" s="160"/>
      <c r="G192" s="91"/>
      <c r="H192" s="74">
        <v>76393.33</v>
      </c>
      <c r="I192" s="74">
        <v>76393</v>
      </c>
      <c r="J192" s="74">
        <f t="shared" si="231"/>
        <v>0.33000000000174623</v>
      </c>
      <c r="K192" s="13"/>
      <c r="L192" s="13"/>
      <c r="M192" s="74">
        <v>0</v>
      </c>
      <c r="N192" s="18">
        <v>0</v>
      </c>
      <c r="O192" s="18">
        <v>0</v>
      </c>
      <c r="P192" s="13">
        <v>0</v>
      </c>
      <c r="S192" s="13"/>
      <c r="T192" s="13"/>
    </row>
    <row r="193" spans="1:29">
      <c r="A193" s="20">
        <v>333</v>
      </c>
      <c r="B193" s="16" t="s">
        <v>381</v>
      </c>
      <c r="C193" s="138"/>
      <c r="D193" s="102"/>
      <c r="E193" s="160" t="s">
        <v>287</v>
      </c>
      <c r="F193" s="160"/>
      <c r="G193" s="91"/>
      <c r="H193" s="74">
        <v>87928.29</v>
      </c>
      <c r="I193" s="74">
        <v>76631</v>
      </c>
      <c r="J193" s="74">
        <f t="shared" si="231"/>
        <v>11297.289999999994</v>
      </c>
      <c r="K193" s="13"/>
      <c r="L193" s="13"/>
      <c r="M193" s="74">
        <v>0</v>
      </c>
      <c r="N193" s="18">
        <v>0</v>
      </c>
      <c r="O193" s="18">
        <v>0</v>
      </c>
      <c r="P193" s="13">
        <v>0</v>
      </c>
      <c r="S193" s="13"/>
      <c r="T193" s="13"/>
    </row>
    <row r="194" spans="1:29">
      <c r="A194" s="20">
        <v>334</v>
      </c>
      <c r="B194" s="16" t="s">
        <v>13</v>
      </c>
      <c r="C194" s="138"/>
      <c r="D194" s="102"/>
      <c r="E194" s="160" t="s">
        <v>287</v>
      </c>
      <c r="F194" s="160"/>
      <c r="G194" s="91"/>
      <c r="H194" s="74">
        <v>132519.20000000001</v>
      </c>
      <c r="I194" s="74">
        <v>132519</v>
      </c>
      <c r="J194" s="74">
        <f t="shared" si="231"/>
        <v>0.20000000001164153</v>
      </c>
      <c r="K194" s="13"/>
      <c r="L194" s="13"/>
      <c r="M194" s="74">
        <v>0</v>
      </c>
      <c r="N194" s="18">
        <v>0</v>
      </c>
      <c r="O194" s="18">
        <v>0</v>
      </c>
      <c r="P194" s="13">
        <v>0</v>
      </c>
      <c r="S194" s="13"/>
      <c r="T194" s="13"/>
    </row>
    <row r="195" spans="1:29">
      <c r="A195" s="20">
        <v>335</v>
      </c>
      <c r="B195" s="15" t="s">
        <v>378</v>
      </c>
      <c r="C195" s="138"/>
      <c r="D195" s="102"/>
      <c r="E195" s="160" t="s">
        <v>287</v>
      </c>
      <c r="F195" s="160"/>
      <c r="G195" s="91"/>
      <c r="H195" s="74">
        <v>3588.26</v>
      </c>
      <c r="I195" s="74">
        <v>3588</v>
      </c>
      <c r="J195" s="74">
        <f t="shared" si="231"/>
        <v>0.26000000000021828</v>
      </c>
      <c r="K195" s="13"/>
      <c r="L195" s="13"/>
      <c r="M195" s="74">
        <v>0</v>
      </c>
      <c r="N195" s="18">
        <v>0</v>
      </c>
      <c r="O195" s="18">
        <v>0</v>
      </c>
      <c r="P195" s="13">
        <v>0</v>
      </c>
      <c r="S195" s="13"/>
      <c r="T195" s="13"/>
    </row>
    <row r="196" spans="1:29">
      <c r="A196" s="20">
        <v>336</v>
      </c>
      <c r="B196" s="16" t="s">
        <v>164</v>
      </c>
      <c r="C196" s="138"/>
      <c r="D196" s="102"/>
      <c r="E196" s="160" t="s">
        <v>287</v>
      </c>
      <c r="F196" s="160"/>
      <c r="G196" s="91"/>
      <c r="H196" s="74">
        <v>59738.080000000002</v>
      </c>
      <c r="I196" s="74">
        <v>59738</v>
      </c>
      <c r="J196" s="74">
        <f t="shared" si="231"/>
        <v>8.000000000174623E-2</v>
      </c>
      <c r="K196" s="13"/>
      <c r="L196" s="13"/>
      <c r="M196" s="74">
        <v>0</v>
      </c>
      <c r="N196" s="21">
        <v>0</v>
      </c>
      <c r="O196" s="18">
        <v>0</v>
      </c>
      <c r="P196" s="13">
        <v>0</v>
      </c>
      <c r="S196" s="13"/>
      <c r="T196" s="13"/>
    </row>
    <row r="197" spans="1:29">
      <c r="B197" s="33" t="s">
        <v>25</v>
      </c>
      <c r="C197" s="23"/>
      <c r="D197" s="102"/>
      <c r="F197" s="96"/>
      <c r="G197" s="72"/>
      <c r="H197" s="75">
        <f>+SUBTOTAL(9,H189:H196)</f>
        <v>1401313.9600000002</v>
      </c>
      <c r="I197" s="75">
        <f>+SUBTOTAL(9,I189:I196)</f>
        <v>1364857</v>
      </c>
      <c r="J197" s="75">
        <f>+SUBTOTAL(9,J189:J196)</f>
        <v>36456.960000000028</v>
      </c>
      <c r="K197" s="13"/>
      <c r="L197" s="13"/>
      <c r="M197" s="75">
        <f>+SUBTOTAL(9,M189:M196)</f>
        <v>0</v>
      </c>
      <c r="N197" s="30">
        <f>+ROUND(M197/H197*100,2)</f>
        <v>0</v>
      </c>
      <c r="O197" s="31"/>
      <c r="P197" s="103">
        <f>+SUBTOTAL(9,P189:P196)</f>
        <v>0</v>
      </c>
      <c r="S197" s="13"/>
      <c r="T197" s="13"/>
    </row>
    <row r="198" spans="1:29">
      <c r="C198" s="43"/>
      <c r="F198" s="96"/>
      <c r="G198" s="72"/>
      <c r="I198" s="73"/>
      <c r="J198" s="73"/>
      <c r="K198" s="19"/>
      <c r="L198" s="19"/>
      <c r="M198" s="73"/>
      <c r="N198" s="27"/>
      <c r="O198" s="31"/>
      <c r="P198" s="19"/>
      <c r="S198" s="19"/>
      <c r="T198" s="19"/>
    </row>
    <row r="199" spans="1:29">
      <c r="B199" s="55" t="s">
        <v>26</v>
      </c>
      <c r="C199" s="43"/>
      <c r="F199" s="96"/>
      <c r="G199" s="72"/>
      <c r="I199" s="73"/>
      <c r="J199" s="73"/>
      <c r="K199" s="19"/>
      <c r="L199" s="19"/>
      <c r="M199" s="73"/>
      <c r="N199" s="27"/>
      <c r="O199" s="31"/>
      <c r="P199" s="19"/>
      <c r="S199" s="19"/>
      <c r="T199" s="19"/>
    </row>
    <row r="200" spans="1:29">
      <c r="A200" s="20">
        <v>330.3</v>
      </c>
      <c r="B200" s="16" t="s">
        <v>27</v>
      </c>
      <c r="C200" s="138">
        <v>45657</v>
      </c>
      <c r="D200" s="102"/>
      <c r="E200" s="152"/>
      <c r="F200" s="97">
        <v>0</v>
      </c>
      <c r="G200" s="91">
        <f t="shared" ref="G200:G207" si="232">H200*F200</f>
        <v>0</v>
      </c>
      <c r="H200" s="74">
        <v>4818.3100000000004</v>
      </c>
      <c r="I200" s="74">
        <v>2949</v>
      </c>
      <c r="J200" s="74">
        <f t="shared" ref="J200:J207" si="233">H200-G200-I200</f>
        <v>1869.3100000000004</v>
      </c>
      <c r="K200" s="13">
        <f>2024-2011</f>
        <v>13</v>
      </c>
      <c r="L200" s="32">
        <f t="shared" ref="L200:L207" si="234">(1-(D200/2)*K200)*K200</f>
        <v>13</v>
      </c>
      <c r="M200" s="74">
        <f t="shared" ref="M200:M207" si="235">J200/L200</f>
        <v>143.79307692307697</v>
      </c>
      <c r="N200" s="68">
        <f t="shared" ref="N200:N207" si="236">M200/H200</f>
        <v>2.9843052216041922E-2</v>
      </c>
      <c r="O200" s="32">
        <v>13.1</v>
      </c>
      <c r="P200" s="13">
        <v>143</v>
      </c>
      <c r="Q200" s="119">
        <f t="shared" ref="Q200:Q207" si="237">M200-P200</f>
        <v>0.79307692307696698</v>
      </c>
      <c r="S200" s="13">
        <v>150</v>
      </c>
      <c r="T200" s="13">
        <f t="shared" ref="T200:T207" si="238">M200-S200</f>
        <v>-6.206923076923033</v>
      </c>
      <c r="W200" s="124">
        <v>0.4200275</v>
      </c>
      <c r="Y200" s="79">
        <f t="shared" ref="Y200:Y207" si="239">M200*W200</f>
        <v>60.397046617307709</v>
      </c>
      <c r="Z200" s="79">
        <f t="shared" ref="Z200:Z207" si="240">P200*W200</f>
        <v>60.0639325</v>
      </c>
      <c r="AA200" s="79">
        <f t="shared" ref="AA200:AA207" si="241">Q200*W200</f>
        <v>0.33311411730771073</v>
      </c>
      <c r="AB200" s="79">
        <f t="shared" ref="AB200:AB207" si="242">S200*W200</f>
        <v>63.004125000000002</v>
      </c>
      <c r="AC200" s="79">
        <f t="shared" ref="AC200:AC207" si="243">T200*W200</f>
        <v>-2.6070783826922894</v>
      </c>
    </row>
    <row r="201" spans="1:29">
      <c r="A201" s="20">
        <v>330.4</v>
      </c>
      <c r="B201" s="16" t="s">
        <v>24</v>
      </c>
      <c r="C201" s="138">
        <v>45657</v>
      </c>
      <c r="D201" s="102"/>
      <c r="E201" s="152"/>
      <c r="F201" s="97">
        <v>0</v>
      </c>
      <c r="G201" s="91">
        <f t="shared" si="232"/>
        <v>0</v>
      </c>
      <c r="H201" s="74">
        <v>90968.42</v>
      </c>
      <c r="I201" s="74">
        <v>53064</v>
      </c>
      <c r="J201" s="74">
        <f t="shared" si="233"/>
        <v>37904.42</v>
      </c>
      <c r="K201" s="13">
        <f t="shared" ref="K201:K207" si="244">2024-2011</f>
        <v>13</v>
      </c>
      <c r="L201" s="32">
        <f t="shared" si="234"/>
        <v>13</v>
      </c>
      <c r="M201" s="74">
        <f t="shared" si="235"/>
        <v>2915.7246153846154</v>
      </c>
      <c r="N201" s="68">
        <f t="shared" si="236"/>
        <v>3.2052052958429042E-2</v>
      </c>
      <c r="O201" s="32">
        <v>13</v>
      </c>
      <c r="P201" s="13">
        <v>2914</v>
      </c>
      <c r="Q201" s="119">
        <f t="shared" si="237"/>
        <v>1.7246153846153902</v>
      </c>
      <c r="S201" s="13">
        <v>3031</v>
      </c>
      <c r="T201" s="13">
        <f t="shared" si="238"/>
        <v>-115.27538461538461</v>
      </c>
      <c r="W201" s="124">
        <v>0.4200275</v>
      </c>
      <c r="Y201" s="79">
        <f t="shared" si="239"/>
        <v>1224.6845208884615</v>
      </c>
      <c r="Z201" s="79">
        <f t="shared" si="240"/>
        <v>1223.960135</v>
      </c>
      <c r="AA201" s="79">
        <f t="shared" si="241"/>
        <v>0.72438588846154084</v>
      </c>
      <c r="AB201" s="79">
        <f t="shared" si="242"/>
        <v>1273.1033525</v>
      </c>
      <c r="AC201" s="79">
        <f t="shared" si="243"/>
        <v>-48.418831611538458</v>
      </c>
    </row>
    <row r="202" spans="1:29">
      <c r="A202" s="20">
        <v>331</v>
      </c>
      <c r="B202" s="15" t="s">
        <v>162</v>
      </c>
      <c r="C202" s="138">
        <v>45657</v>
      </c>
      <c r="D202" s="102">
        <v>2E-3</v>
      </c>
      <c r="E202" s="152">
        <v>2E-3</v>
      </c>
      <c r="F202" s="97">
        <v>-0.01</v>
      </c>
      <c r="G202" s="91">
        <f t="shared" si="232"/>
        <v>-39688.9228</v>
      </c>
      <c r="H202" s="74">
        <v>3968892.28</v>
      </c>
      <c r="I202" s="74">
        <v>1565277</v>
      </c>
      <c r="J202" s="74">
        <f t="shared" si="233"/>
        <v>2443304.2027999996</v>
      </c>
      <c r="K202" s="13">
        <f t="shared" si="244"/>
        <v>13</v>
      </c>
      <c r="L202" s="32">
        <f t="shared" si="234"/>
        <v>12.831</v>
      </c>
      <c r="M202" s="74">
        <f t="shared" si="235"/>
        <v>190421.96265294988</v>
      </c>
      <c r="N202" s="68">
        <f t="shared" si="236"/>
        <v>4.7978617009214949E-2</v>
      </c>
      <c r="O202" s="32">
        <v>12.8</v>
      </c>
      <c r="P202" s="13">
        <v>191004</v>
      </c>
      <c r="Q202" s="119">
        <f t="shared" si="237"/>
        <v>-582.03734705012175</v>
      </c>
      <c r="S202" s="13">
        <v>199880</v>
      </c>
      <c r="T202" s="13">
        <f t="shared" si="238"/>
        <v>-9458.0373470501218</v>
      </c>
      <c r="W202" s="124">
        <v>0.4200275</v>
      </c>
      <c r="Y202" s="79">
        <f t="shared" si="239"/>
        <v>79982.460918211902</v>
      </c>
      <c r="Z202" s="79">
        <f t="shared" si="240"/>
        <v>80226.932610000003</v>
      </c>
      <c r="AA202" s="79">
        <f t="shared" si="241"/>
        <v>-244.471691788095</v>
      </c>
      <c r="AB202" s="79">
        <f t="shared" si="242"/>
        <v>83955.096699999995</v>
      </c>
      <c r="AC202" s="79">
        <f t="shared" si="243"/>
        <v>-3972.6357817880948</v>
      </c>
    </row>
    <row r="203" spans="1:29">
      <c r="A203" s="20">
        <v>332</v>
      </c>
      <c r="B203" s="16" t="s">
        <v>163</v>
      </c>
      <c r="C203" s="138">
        <v>45657</v>
      </c>
      <c r="D203" s="102">
        <v>1.5E-3</v>
      </c>
      <c r="E203" s="152">
        <v>1.5E-3</v>
      </c>
      <c r="F203" s="97">
        <v>0</v>
      </c>
      <c r="G203" s="91">
        <f t="shared" si="232"/>
        <v>0</v>
      </c>
      <c r="H203" s="74">
        <v>7553630.7599999998</v>
      </c>
      <c r="I203" s="74">
        <v>3110868</v>
      </c>
      <c r="J203" s="74">
        <f t="shared" si="233"/>
        <v>4442762.76</v>
      </c>
      <c r="K203" s="13">
        <f t="shared" si="244"/>
        <v>13</v>
      </c>
      <c r="L203" s="32">
        <f t="shared" si="234"/>
        <v>12.873249999999999</v>
      </c>
      <c r="M203" s="74">
        <f t="shared" si="235"/>
        <v>345115.86118501547</v>
      </c>
      <c r="N203" s="68">
        <f t="shared" si="236"/>
        <v>4.5688738588145587E-2</v>
      </c>
      <c r="O203" s="32">
        <v>12.8</v>
      </c>
      <c r="P203" s="13">
        <v>353161</v>
      </c>
      <c r="Q203" s="119">
        <f t="shared" si="237"/>
        <v>-8045.1388149845297</v>
      </c>
      <c r="S203" s="13">
        <v>376502</v>
      </c>
      <c r="T203" s="13">
        <f t="shared" si="238"/>
        <v>-31386.13881498453</v>
      </c>
      <c r="W203" s="124">
        <v>0.4200275</v>
      </c>
      <c r="Y203" s="79">
        <f t="shared" si="239"/>
        <v>144958.15238388907</v>
      </c>
      <c r="Z203" s="79">
        <f t="shared" si="240"/>
        <v>148337.3319275</v>
      </c>
      <c r="AA203" s="79">
        <f t="shared" si="241"/>
        <v>-3379.1795436109146</v>
      </c>
      <c r="AB203" s="79">
        <f t="shared" si="242"/>
        <v>158141.19380499999</v>
      </c>
      <c r="AC203" s="79">
        <f t="shared" si="243"/>
        <v>-13183.041421110915</v>
      </c>
    </row>
    <row r="204" spans="1:29">
      <c r="A204" s="20">
        <v>333</v>
      </c>
      <c r="B204" s="16" t="s">
        <v>381</v>
      </c>
      <c r="C204" s="138">
        <v>45657</v>
      </c>
      <c r="D204" s="102">
        <v>4.4999999999999997E-3</v>
      </c>
      <c r="E204" s="152">
        <v>4.4999999999999997E-3</v>
      </c>
      <c r="F204" s="97">
        <v>-0.01</v>
      </c>
      <c r="G204" s="91">
        <f t="shared" si="232"/>
        <v>-119990.63029999999</v>
      </c>
      <c r="H204" s="74">
        <v>11999063.029999999</v>
      </c>
      <c r="I204" s="74">
        <v>2130854</v>
      </c>
      <c r="J204" s="74">
        <f t="shared" si="233"/>
        <v>9988199.6602999996</v>
      </c>
      <c r="K204" s="13">
        <f t="shared" si="244"/>
        <v>13</v>
      </c>
      <c r="L204" s="32">
        <f t="shared" si="234"/>
        <v>12.61975</v>
      </c>
      <c r="M204" s="74">
        <f t="shared" si="235"/>
        <v>791473.65520711581</v>
      </c>
      <c r="N204" s="68">
        <f t="shared" si="236"/>
        <v>6.5961288246280336E-2</v>
      </c>
      <c r="O204" s="32">
        <v>12.9</v>
      </c>
      <c r="P204" s="13">
        <v>775105</v>
      </c>
      <c r="Q204" s="119">
        <f t="shared" si="237"/>
        <v>16368.655207115808</v>
      </c>
      <c r="S204" s="13">
        <v>859713</v>
      </c>
      <c r="T204" s="13">
        <f t="shared" si="238"/>
        <v>-68239.344792884192</v>
      </c>
      <c r="W204" s="124">
        <v>0.4200275</v>
      </c>
      <c r="Y204" s="79">
        <f t="shared" si="239"/>
        <v>332440.70071250683</v>
      </c>
      <c r="Z204" s="79">
        <f t="shared" si="240"/>
        <v>325565.41538750002</v>
      </c>
      <c r="AA204" s="79">
        <f t="shared" si="241"/>
        <v>6875.2853250068347</v>
      </c>
      <c r="AB204" s="79">
        <f t="shared" si="242"/>
        <v>361103.10210750002</v>
      </c>
      <c r="AC204" s="79">
        <f t="shared" si="243"/>
        <v>-28662.401394993165</v>
      </c>
    </row>
    <row r="205" spans="1:29">
      <c r="A205" s="20">
        <v>334</v>
      </c>
      <c r="B205" s="16" t="s">
        <v>13</v>
      </c>
      <c r="C205" s="138">
        <v>45657</v>
      </c>
      <c r="D205" s="102">
        <v>5.0000000000000001E-3</v>
      </c>
      <c r="E205" s="152">
        <v>4.0000000000000001E-3</v>
      </c>
      <c r="F205" s="97">
        <v>-0.01</v>
      </c>
      <c r="G205" s="91">
        <f t="shared" si="232"/>
        <v>-25647.0301</v>
      </c>
      <c r="H205" s="74">
        <v>2564703.0099999998</v>
      </c>
      <c r="I205" s="74">
        <v>510863</v>
      </c>
      <c r="J205" s="74">
        <f t="shared" si="233"/>
        <v>2079487.0400999999</v>
      </c>
      <c r="K205" s="13">
        <f t="shared" si="244"/>
        <v>13</v>
      </c>
      <c r="L205" s="32">
        <f t="shared" si="234"/>
        <v>12.577500000000001</v>
      </c>
      <c r="M205" s="74">
        <f t="shared" si="235"/>
        <v>165333.89307096004</v>
      </c>
      <c r="N205" s="68">
        <f t="shared" si="236"/>
        <v>6.4465122248583487E-2</v>
      </c>
      <c r="O205" s="32">
        <v>12.5</v>
      </c>
      <c r="P205" s="13">
        <v>169076</v>
      </c>
      <c r="Q205" s="119">
        <f t="shared" si="237"/>
        <v>-3742.106929039961</v>
      </c>
      <c r="S205" s="13">
        <v>184817</v>
      </c>
      <c r="T205" s="13">
        <f t="shared" si="238"/>
        <v>-19483.106929039961</v>
      </c>
      <c r="W205" s="124">
        <v>0.4200275</v>
      </c>
      <c r="Y205" s="79">
        <f t="shared" si="239"/>
        <v>69444.781771862661</v>
      </c>
      <c r="Z205" s="79">
        <f t="shared" si="240"/>
        <v>71016.569589999999</v>
      </c>
      <c r="AA205" s="79">
        <f t="shared" si="241"/>
        <v>-1571.7878181373321</v>
      </c>
      <c r="AB205" s="79">
        <f t="shared" si="242"/>
        <v>77628.222467500003</v>
      </c>
      <c r="AC205" s="79">
        <f t="shared" si="243"/>
        <v>-8183.4406956373323</v>
      </c>
    </row>
    <row r="206" spans="1:29">
      <c r="A206" s="20">
        <v>335</v>
      </c>
      <c r="B206" s="15" t="s">
        <v>378</v>
      </c>
      <c r="C206" s="138">
        <v>45657</v>
      </c>
      <c r="D206" s="102">
        <v>7.0000000000000001E-3</v>
      </c>
      <c r="E206" s="152">
        <v>6.0000000000000001E-3</v>
      </c>
      <c r="F206" s="97">
        <v>0</v>
      </c>
      <c r="G206" s="91">
        <f t="shared" si="232"/>
        <v>0</v>
      </c>
      <c r="H206" s="74">
        <v>12554.11</v>
      </c>
      <c r="I206" s="74">
        <v>5906</v>
      </c>
      <c r="J206" s="74">
        <f t="shared" si="233"/>
        <v>6648.1100000000006</v>
      </c>
      <c r="K206" s="13">
        <f t="shared" si="244"/>
        <v>13</v>
      </c>
      <c r="L206" s="32">
        <f t="shared" si="234"/>
        <v>12.4085</v>
      </c>
      <c r="M206" s="74">
        <f t="shared" si="235"/>
        <v>535.77064109279934</v>
      </c>
      <c r="N206" s="68">
        <f t="shared" si="236"/>
        <v>4.2676911473039453E-2</v>
      </c>
      <c r="O206" s="32">
        <v>12.4</v>
      </c>
      <c r="P206" s="13">
        <v>545</v>
      </c>
      <c r="Q206" s="119">
        <f t="shared" si="237"/>
        <v>-9.2293589072006625</v>
      </c>
      <c r="S206" s="13">
        <v>560</v>
      </c>
      <c r="T206" s="13">
        <f t="shared" si="238"/>
        <v>-24.229358907200663</v>
      </c>
      <c r="W206" s="124">
        <v>0.4200275</v>
      </c>
      <c r="Y206" s="79">
        <f t="shared" si="239"/>
        <v>225.03840295160578</v>
      </c>
      <c r="Z206" s="79">
        <f t="shared" si="240"/>
        <v>228.9149875</v>
      </c>
      <c r="AA206" s="79">
        <f t="shared" si="241"/>
        <v>-3.8765845483942263</v>
      </c>
      <c r="AB206" s="79">
        <f t="shared" si="242"/>
        <v>235.21539999999999</v>
      </c>
      <c r="AC206" s="79">
        <f t="shared" si="243"/>
        <v>-10.176997048394226</v>
      </c>
    </row>
    <row r="207" spans="1:29">
      <c r="A207" s="20">
        <v>336</v>
      </c>
      <c r="B207" s="16" t="s">
        <v>164</v>
      </c>
      <c r="C207" s="138">
        <v>45657</v>
      </c>
      <c r="D207" s="102">
        <v>2E-3</v>
      </c>
      <c r="E207" s="152">
        <v>0.01</v>
      </c>
      <c r="F207" s="97">
        <v>-0.01</v>
      </c>
      <c r="G207" s="91">
        <f t="shared" si="232"/>
        <v>-5720.5924000000005</v>
      </c>
      <c r="H207" s="74">
        <v>572059.24</v>
      </c>
      <c r="I207" s="74">
        <v>259659</v>
      </c>
      <c r="J207" s="74">
        <f t="shared" si="233"/>
        <v>318120.83239999996</v>
      </c>
      <c r="K207" s="13">
        <f t="shared" si="244"/>
        <v>13</v>
      </c>
      <c r="L207" s="32">
        <f t="shared" si="234"/>
        <v>12.831</v>
      </c>
      <c r="M207" s="74">
        <f t="shared" si="235"/>
        <v>24793.144135297323</v>
      </c>
      <c r="N207" s="88">
        <f t="shared" si="236"/>
        <v>4.3340168992458412E-2</v>
      </c>
      <c r="O207" s="32">
        <v>12.8</v>
      </c>
      <c r="P207" s="13">
        <v>24879</v>
      </c>
      <c r="Q207" s="119">
        <f t="shared" si="237"/>
        <v>-85.855864702676627</v>
      </c>
      <c r="S207" s="13">
        <v>25849</v>
      </c>
      <c r="T207" s="13">
        <f t="shared" si="238"/>
        <v>-1055.8558647026766</v>
      </c>
      <c r="W207" s="124">
        <v>0.4200275</v>
      </c>
      <c r="Y207" s="79">
        <f t="shared" si="239"/>
        <v>10413.802348288596</v>
      </c>
      <c r="Z207" s="79">
        <f t="shared" si="240"/>
        <v>10449.8641725</v>
      </c>
      <c r="AA207" s="79">
        <f t="shared" si="241"/>
        <v>-36.061824211403504</v>
      </c>
      <c r="AB207" s="79">
        <f t="shared" si="242"/>
        <v>10857.2908475</v>
      </c>
      <c r="AC207" s="79">
        <f t="shared" si="243"/>
        <v>-443.48849921140351</v>
      </c>
    </row>
    <row r="208" spans="1:29">
      <c r="B208" s="33" t="s">
        <v>28</v>
      </c>
      <c r="C208" s="23"/>
      <c r="D208" s="102"/>
      <c r="E208" s="152"/>
      <c r="F208" s="96"/>
      <c r="G208" s="72"/>
      <c r="H208" s="75">
        <f>+SUBTOTAL(9,H200:H207)</f>
        <v>26766689.159999993</v>
      </c>
      <c r="I208" s="75">
        <f>+SUBTOTAL(9,I200:I207)</f>
        <v>7639440</v>
      </c>
      <c r="J208" s="75">
        <f>+SUBTOTAL(9,J200:J207)</f>
        <v>19318296.3356</v>
      </c>
      <c r="K208" s="13"/>
      <c r="L208" s="13"/>
      <c r="M208" s="75">
        <f>+SUBTOTAL(9,M200:M207)</f>
        <v>1520733.804584739</v>
      </c>
      <c r="N208" s="27">
        <f>+ROUND(M208/H208*100,2)</f>
        <v>5.68</v>
      </c>
      <c r="O208" s="31"/>
      <c r="P208" s="103">
        <f>+SUBTOTAL(9,P200:P207)</f>
        <v>1516827</v>
      </c>
      <c r="Q208" s="120">
        <f>+SUBTOTAL(9,Q200:Q207)</f>
        <v>3906.8045847390104</v>
      </c>
      <c r="S208" s="103">
        <f>+SUBTOTAL(9,S200:S207)</f>
        <v>1650502</v>
      </c>
      <c r="T208" s="103">
        <f>+SUBTOTAL(9,T200:T207)</f>
        <v>-129768.195415261</v>
      </c>
      <c r="Y208" s="75">
        <f t="shared" ref="Y208:AC208" si="245">+SUBTOTAL(9,Y200:Y207)</f>
        <v>638750.01810521644</v>
      </c>
      <c r="Z208" s="75">
        <f t="shared" si="245"/>
        <v>637109.05274249986</v>
      </c>
      <c r="AA208" s="75">
        <f t="shared" si="245"/>
        <v>1640.9653627164644</v>
      </c>
      <c r="AB208" s="75">
        <f t="shared" si="245"/>
        <v>693256.22880499996</v>
      </c>
      <c r="AC208" s="75">
        <f t="shared" si="245"/>
        <v>-54506.210699783536</v>
      </c>
    </row>
    <row r="209" spans="1:29">
      <c r="C209" s="43"/>
      <c r="E209" s="153"/>
      <c r="F209" s="96"/>
      <c r="G209" s="72"/>
      <c r="I209" s="73"/>
      <c r="J209" s="73"/>
      <c r="K209" s="19"/>
      <c r="L209" s="19"/>
      <c r="M209" s="73"/>
      <c r="N209" s="27"/>
      <c r="O209" s="31"/>
      <c r="P209" s="19"/>
      <c r="S209" s="19"/>
      <c r="T209" s="19"/>
    </row>
    <row r="210" spans="1:29">
      <c r="B210" s="55" t="s">
        <v>29</v>
      </c>
      <c r="C210" s="43"/>
      <c r="E210" s="153"/>
      <c r="F210" s="96"/>
      <c r="G210" s="72"/>
      <c r="I210" s="73"/>
      <c r="J210" s="73"/>
      <c r="K210" s="19"/>
      <c r="L210" s="19"/>
      <c r="M210" s="73"/>
      <c r="N210" s="27"/>
      <c r="O210" s="31"/>
      <c r="P210" s="19"/>
      <c r="S210" s="19"/>
      <c r="T210" s="19"/>
    </row>
    <row r="211" spans="1:29">
      <c r="A211" s="20">
        <v>330.2</v>
      </c>
      <c r="B211" s="16" t="s">
        <v>10</v>
      </c>
      <c r="C211" s="138">
        <v>46022</v>
      </c>
      <c r="D211" s="102"/>
      <c r="E211" s="152"/>
      <c r="F211" s="97">
        <v>0</v>
      </c>
      <c r="G211" s="91">
        <f t="shared" ref="G211:G216" si="246">H211*F211</f>
        <v>0</v>
      </c>
      <c r="H211" s="74">
        <v>12122.48</v>
      </c>
      <c r="I211" s="74">
        <v>12122</v>
      </c>
      <c r="J211" s="74">
        <v>0</v>
      </c>
      <c r="K211" s="13">
        <f>2025-2011</f>
        <v>14</v>
      </c>
      <c r="L211" s="32">
        <f t="shared" ref="L211:L216" si="247">(1-(D211/2)*K211)*K211</f>
        <v>14</v>
      </c>
      <c r="M211" s="74">
        <f t="shared" ref="M211:M216" si="248">J211/L211</f>
        <v>0</v>
      </c>
      <c r="N211" s="68">
        <f t="shared" ref="N211:N216" si="249">M211/H211</f>
        <v>0</v>
      </c>
      <c r="O211" s="18">
        <v>0</v>
      </c>
      <c r="P211" s="13">
        <v>0</v>
      </c>
      <c r="Q211" s="119">
        <f t="shared" ref="Q211:Q216" si="250">M211-P211</f>
        <v>0</v>
      </c>
      <c r="S211" s="13">
        <v>0</v>
      </c>
      <c r="T211" s="13">
        <f t="shared" ref="T211:T216" si="251">M211-S211</f>
        <v>0</v>
      </c>
      <c r="W211" s="124">
        <v>0.4200275</v>
      </c>
      <c r="Y211" s="79">
        <f t="shared" ref="Y211:Y216" si="252">M211*W211</f>
        <v>0</v>
      </c>
      <c r="AA211" s="79">
        <f t="shared" ref="AA211:AA216" si="253">Q211*W211</f>
        <v>0</v>
      </c>
      <c r="AB211" s="79">
        <f t="shared" ref="AB211:AB216" si="254">S211*W211</f>
        <v>0</v>
      </c>
      <c r="AC211" s="79">
        <f t="shared" ref="AC211:AC216" si="255">T211*W211</f>
        <v>0</v>
      </c>
    </row>
    <row r="212" spans="1:29">
      <c r="A212" s="20">
        <v>331</v>
      </c>
      <c r="B212" s="15" t="s">
        <v>162</v>
      </c>
      <c r="C212" s="138">
        <v>46022</v>
      </c>
      <c r="D212" s="102">
        <v>2E-3</v>
      </c>
      <c r="E212" s="152">
        <v>2E-3</v>
      </c>
      <c r="F212" s="97">
        <v>-0.01</v>
      </c>
      <c r="G212" s="91">
        <f t="shared" si="246"/>
        <v>-1384.7988</v>
      </c>
      <c r="H212" s="74">
        <v>138479.88</v>
      </c>
      <c r="I212" s="74">
        <v>115570</v>
      </c>
      <c r="J212" s="74">
        <f t="shared" ref="J212:J216" si="256">H212-G212-I212</f>
        <v>24294.678799999994</v>
      </c>
      <c r="K212" s="13">
        <f t="shared" ref="K212:K216" si="257">2025-2011</f>
        <v>14</v>
      </c>
      <c r="L212" s="32">
        <f t="shared" si="247"/>
        <v>13.804</v>
      </c>
      <c r="M212" s="74">
        <f t="shared" si="248"/>
        <v>1759.9738336713992</v>
      </c>
      <c r="N212" s="68">
        <f t="shared" si="249"/>
        <v>1.2709238581600441E-2</v>
      </c>
      <c r="O212" s="32">
        <v>13.8</v>
      </c>
      <c r="P212" s="13">
        <v>1758</v>
      </c>
      <c r="Q212" s="119">
        <f t="shared" si="250"/>
        <v>1.9738336713992339</v>
      </c>
      <c r="S212" s="13">
        <v>1800</v>
      </c>
      <c r="T212" s="13">
        <f t="shared" si="251"/>
        <v>-40.026166328600766</v>
      </c>
      <c r="W212" s="124">
        <v>0.4200275</v>
      </c>
      <c r="Y212" s="79">
        <f t="shared" si="252"/>
        <v>739.23740942241363</v>
      </c>
      <c r="Z212" s="79">
        <f t="shared" ref="Z212:Z216" si="258">P212*W212</f>
        <v>738.40834499999994</v>
      </c>
      <c r="AA212" s="79">
        <f t="shared" si="253"/>
        <v>0.82906442241364176</v>
      </c>
      <c r="AB212" s="79">
        <f t="shared" si="254"/>
        <v>756.04949999999997</v>
      </c>
      <c r="AC212" s="79">
        <f t="shared" si="255"/>
        <v>-16.812090577586357</v>
      </c>
    </row>
    <row r="213" spans="1:29">
      <c r="A213" s="20">
        <v>332</v>
      </c>
      <c r="B213" s="16" t="s">
        <v>163</v>
      </c>
      <c r="C213" s="138">
        <v>46022</v>
      </c>
      <c r="D213" s="102">
        <v>1.5E-3</v>
      </c>
      <c r="E213" s="152">
        <v>1.5E-3</v>
      </c>
      <c r="F213" s="97">
        <v>0</v>
      </c>
      <c r="G213" s="91">
        <f t="shared" si="246"/>
        <v>0</v>
      </c>
      <c r="H213" s="74">
        <v>1227012.53</v>
      </c>
      <c r="I213" s="74">
        <v>1017939</v>
      </c>
      <c r="J213" s="74">
        <f t="shared" si="256"/>
        <v>209073.53000000003</v>
      </c>
      <c r="K213" s="13">
        <f t="shared" si="257"/>
        <v>14</v>
      </c>
      <c r="L213" s="32">
        <f t="shared" si="247"/>
        <v>13.853000000000002</v>
      </c>
      <c r="M213" s="74">
        <f t="shared" si="248"/>
        <v>15092.292644192594</v>
      </c>
      <c r="N213" s="68">
        <f t="shared" si="249"/>
        <v>1.2300031397554345E-2</v>
      </c>
      <c r="O213" s="32">
        <v>13.9</v>
      </c>
      <c r="P213" s="13">
        <v>15962</v>
      </c>
      <c r="Q213" s="119">
        <f t="shared" si="250"/>
        <v>-869.7073558074062</v>
      </c>
      <c r="S213" s="13">
        <v>15337</v>
      </c>
      <c r="T213" s="13">
        <f t="shared" si="251"/>
        <v>-244.7073558074062</v>
      </c>
      <c r="W213" s="124">
        <v>0.4200275</v>
      </c>
      <c r="Y213" s="79">
        <f t="shared" si="252"/>
        <v>6339.1779486086043</v>
      </c>
      <c r="Z213" s="79">
        <f t="shared" si="258"/>
        <v>6704.4789549999996</v>
      </c>
      <c r="AA213" s="79">
        <f t="shared" si="253"/>
        <v>-365.30100639139533</v>
      </c>
      <c r="AB213" s="79">
        <f t="shared" si="254"/>
        <v>6441.9617675</v>
      </c>
      <c r="AC213" s="79">
        <f t="shared" si="255"/>
        <v>-102.78381889139531</v>
      </c>
    </row>
    <row r="214" spans="1:29">
      <c r="A214" s="20">
        <v>333</v>
      </c>
      <c r="B214" s="16" t="s">
        <v>381</v>
      </c>
      <c r="C214" s="138">
        <v>46022</v>
      </c>
      <c r="D214" s="102">
        <v>4.4999999999999997E-3</v>
      </c>
      <c r="E214" s="152">
        <v>4.4999999999999997E-3</v>
      </c>
      <c r="F214" s="97">
        <v>-0.01</v>
      </c>
      <c r="G214" s="91">
        <f t="shared" si="246"/>
        <v>-2515.4142000000002</v>
      </c>
      <c r="H214" s="74">
        <v>251541.42</v>
      </c>
      <c r="I214" s="74">
        <v>249873</v>
      </c>
      <c r="J214" s="74">
        <f t="shared" si="256"/>
        <v>4183.8342000000121</v>
      </c>
      <c r="K214" s="13">
        <f t="shared" si="257"/>
        <v>14</v>
      </c>
      <c r="L214" s="32">
        <f t="shared" si="247"/>
        <v>13.559000000000001</v>
      </c>
      <c r="M214" s="74">
        <f t="shared" si="248"/>
        <v>308.56510067114181</v>
      </c>
      <c r="N214" s="68">
        <f t="shared" si="249"/>
        <v>1.2266969816388164E-3</v>
      </c>
      <c r="O214" s="32">
        <v>13.8</v>
      </c>
      <c r="P214" s="13">
        <v>851</v>
      </c>
      <c r="Q214" s="119">
        <f t="shared" si="250"/>
        <v>-542.43489932885814</v>
      </c>
      <c r="S214" s="13">
        <v>765</v>
      </c>
      <c r="T214" s="13">
        <f t="shared" si="251"/>
        <v>-456.43489932885819</v>
      </c>
      <c r="W214" s="124">
        <v>0.4200275</v>
      </c>
      <c r="Y214" s="79">
        <f t="shared" si="252"/>
        <v>129.605827822148</v>
      </c>
      <c r="Z214" s="79">
        <f t="shared" si="258"/>
        <v>357.44340249999999</v>
      </c>
      <c r="AA214" s="79">
        <f t="shared" si="253"/>
        <v>-227.83757467785196</v>
      </c>
      <c r="AB214" s="79">
        <f t="shared" si="254"/>
        <v>321.32103749999999</v>
      </c>
      <c r="AC214" s="79">
        <f t="shared" si="255"/>
        <v>-191.71520967785199</v>
      </c>
    </row>
    <row r="215" spans="1:29">
      <c r="A215" s="20">
        <v>334</v>
      </c>
      <c r="B215" s="16" t="s">
        <v>13</v>
      </c>
      <c r="C215" s="138">
        <v>46022</v>
      </c>
      <c r="D215" s="102">
        <v>5.0000000000000001E-3</v>
      </c>
      <c r="E215" s="152">
        <v>4.0000000000000001E-3</v>
      </c>
      <c r="F215" s="97">
        <v>-0.01</v>
      </c>
      <c r="G215" s="91">
        <f t="shared" si="246"/>
        <v>-987.14470000000006</v>
      </c>
      <c r="H215" s="74">
        <v>98714.47</v>
      </c>
      <c r="I215" s="74">
        <v>69132</v>
      </c>
      <c r="J215" s="74">
        <f t="shared" si="256"/>
        <v>30569.614700000006</v>
      </c>
      <c r="K215" s="13">
        <f t="shared" si="257"/>
        <v>14</v>
      </c>
      <c r="L215" s="32">
        <f t="shared" si="247"/>
        <v>13.51</v>
      </c>
      <c r="M215" s="74">
        <f t="shared" si="248"/>
        <v>2262.7398001480387</v>
      </c>
      <c r="N215" s="68">
        <f t="shared" si="249"/>
        <v>2.2922068063051332E-2</v>
      </c>
      <c r="O215" s="32">
        <v>13.4</v>
      </c>
      <c r="P215" s="13">
        <v>2421</v>
      </c>
      <c r="Q215" s="119">
        <f t="shared" si="250"/>
        <v>-158.26019985196126</v>
      </c>
      <c r="S215" s="13">
        <v>2592</v>
      </c>
      <c r="T215" s="13">
        <f t="shared" si="251"/>
        <v>-329.26019985196126</v>
      </c>
      <c r="W215" s="124">
        <v>0.4200275</v>
      </c>
      <c r="Y215" s="79">
        <f t="shared" si="252"/>
        <v>950.41294140668037</v>
      </c>
      <c r="Z215" s="79">
        <f t="shared" si="258"/>
        <v>1016.8865775</v>
      </c>
      <c r="AA215" s="79">
        <f t="shared" si="253"/>
        <v>-66.473636093319655</v>
      </c>
      <c r="AB215" s="79">
        <f t="shared" si="254"/>
        <v>1088.71128</v>
      </c>
      <c r="AC215" s="79">
        <f t="shared" si="255"/>
        <v>-138.29833859331967</v>
      </c>
    </row>
    <row r="216" spans="1:29">
      <c r="A216" s="20">
        <v>336</v>
      </c>
      <c r="B216" s="16" t="s">
        <v>164</v>
      </c>
      <c r="C216" s="138">
        <v>46022</v>
      </c>
      <c r="D216" s="102">
        <v>2E-3</v>
      </c>
      <c r="E216" s="152">
        <v>0.01</v>
      </c>
      <c r="F216" s="97">
        <v>-0.01</v>
      </c>
      <c r="G216" s="91">
        <f t="shared" si="246"/>
        <v>-1057.4065000000001</v>
      </c>
      <c r="H216" s="74">
        <v>105740.65</v>
      </c>
      <c r="I216" s="74">
        <v>63989</v>
      </c>
      <c r="J216" s="74">
        <f t="shared" si="256"/>
        <v>42809.056499999992</v>
      </c>
      <c r="K216" s="13">
        <f t="shared" si="257"/>
        <v>14</v>
      </c>
      <c r="L216" s="32">
        <f t="shared" si="247"/>
        <v>13.804</v>
      </c>
      <c r="M216" s="74">
        <f t="shared" si="248"/>
        <v>3101.2066430020277</v>
      </c>
      <c r="N216" s="88">
        <f t="shared" si="249"/>
        <v>2.932842424367571E-2</v>
      </c>
      <c r="O216" s="32">
        <v>13.8</v>
      </c>
      <c r="P216" s="13">
        <v>3098</v>
      </c>
      <c r="Q216" s="119">
        <f t="shared" si="250"/>
        <v>3.2066430020277039</v>
      </c>
      <c r="S216" s="13">
        <v>3118</v>
      </c>
      <c r="T216" s="13">
        <f t="shared" si="251"/>
        <v>-16.793356997972296</v>
      </c>
      <c r="W216" s="124">
        <v>0.4200275</v>
      </c>
      <c r="Y216" s="79">
        <f t="shared" si="252"/>
        <v>1302.5920732435343</v>
      </c>
      <c r="Z216" s="79">
        <f t="shared" si="258"/>
        <v>1301.245195</v>
      </c>
      <c r="AA216" s="79">
        <f t="shared" si="253"/>
        <v>1.3468782435341915</v>
      </c>
      <c r="AB216" s="79">
        <f t="shared" si="254"/>
        <v>1309.645745</v>
      </c>
      <c r="AC216" s="79">
        <f t="shared" si="255"/>
        <v>-7.0536717564658087</v>
      </c>
    </row>
    <row r="217" spans="1:29">
      <c r="B217" s="33" t="s">
        <v>30</v>
      </c>
      <c r="C217" s="56"/>
      <c r="D217" s="102"/>
      <c r="F217" s="96"/>
      <c r="G217" s="72"/>
      <c r="H217" s="75">
        <f>+SUBTOTAL(9,H210:H216)</f>
        <v>1833611.43</v>
      </c>
      <c r="I217" s="75">
        <f>+SUBTOTAL(9,I210:I216)</f>
        <v>1528625</v>
      </c>
      <c r="J217" s="75">
        <f>+SUBTOTAL(9,J210:J216)</f>
        <v>310930.71420000005</v>
      </c>
      <c r="K217" s="13"/>
      <c r="L217" s="13"/>
      <c r="M217" s="75">
        <f>+SUBTOTAL(9,M210:M216)</f>
        <v>22524.778021685201</v>
      </c>
      <c r="N217" s="27">
        <f>+ROUND(M217/H217*100,2)</f>
        <v>1.23</v>
      </c>
      <c r="O217" s="31"/>
      <c r="P217" s="103">
        <f>+SUBTOTAL(9,P210:P216)</f>
        <v>24090</v>
      </c>
      <c r="Q217" s="120">
        <f>+SUBTOTAL(9,Q210:Q216)</f>
        <v>-1565.2219783147987</v>
      </c>
      <c r="S217" s="103">
        <f>+SUBTOTAL(9,S210:S216)</f>
        <v>23612</v>
      </c>
      <c r="T217" s="103">
        <f>+SUBTOTAL(9,T210:T216)</f>
        <v>-1087.2219783147987</v>
      </c>
      <c r="Y217" s="75">
        <f t="shared" ref="Y217:AC217" si="259">+SUBTOTAL(9,Y210:Y216)</f>
        <v>9461.0262005033801</v>
      </c>
      <c r="Z217" s="75">
        <f t="shared" si="259"/>
        <v>10118.462474999998</v>
      </c>
      <c r="AA217" s="75">
        <f t="shared" si="259"/>
        <v>-657.43627449661915</v>
      </c>
      <c r="AB217" s="75">
        <f t="shared" si="259"/>
        <v>9917.6893299999992</v>
      </c>
      <c r="AC217" s="75">
        <f t="shared" si="259"/>
        <v>-456.66312949661915</v>
      </c>
    </row>
    <row r="218" spans="1:29">
      <c r="B218" s="17"/>
      <c r="C218" s="17"/>
      <c r="F218" s="96"/>
      <c r="G218" s="72"/>
      <c r="I218" s="73"/>
      <c r="J218" s="73"/>
      <c r="K218" s="19"/>
      <c r="L218" s="19"/>
      <c r="M218" s="73"/>
      <c r="N218" s="27"/>
      <c r="O218" s="31"/>
      <c r="P218" s="19"/>
      <c r="S218" s="19"/>
      <c r="T218" s="19"/>
    </row>
    <row r="219" spans="1:29">
      <c r="B219" s="55" t="s">
        <v>91</v>
      </c>
      <c r="C219" s="43"/>
      <c r="F219" s="96"/>
      <c r="G219" s="72"/>
      <c r="I219" s="73"/>
      <c r="J219" s="73"/>
      <c r="K219" s="19"/>
      <c r="L219" s="19"/>
      <c r="M219" s="73"/>
      <c r="N219" s="27"/>
      <c r="O219" s="31"/>
      <c r="P219" s="19"/>
      <c r="S219" s="19"/>
      <c r="T219" s="19"/>
    </row>
    <row r="220" spans="1:29">
      <c r="A220" s="20">
        <v>331</v>
      </c>
      <c r="B220" s="15" t="s">
        <v>162</v>
      </c>
      <c r="C220" s="138"/>
      <c r="D220" s="102"/>
      <c r="E220" s="160" t="s">
        <v>287</v>
      </c>
      <c r="F220" s="160"/>
      <c r="G220" s="91"/>
      <c r="H220" s="74">
        <v>35549.64</v>
      </c>
      <c r="I220" s="74">
        <v>35550</v>
      </c>
      <c r="J220" s="74">
        <f t="shared" ref="J220:J224" si="260">H220-G220-I220</f>
        <v>-0.36000000000058208</v>
      </c>
      <c r="K220" s="13"/>
      <c r="L220" s="13"/>
      <c r="M220" s="74">
        <v>0</v>
      </c>
      <c r="N220" s="18">
        <v>0</v>
      </c>
      <c r="O220" s="18">
        <v>0</v>
      </c>
      <c r="P220" s="13">
        <v>0</v>
      </c>
      <c r="S220" s="13"/>
      <c r="T220" s="13"/>
    </row>
    <row r="221" spans="1:29">
      <c r="A221" s="20">
        <v>332</v>
      </c>
      <c r="B221" s="16" t="s">
        <v>163</v>
      </c>
      <c r="C221" s="138"/>
      <c r="D221" s="102"/>
      <c r="E221" s="160" t="s">
        <v>287</v>
      </c>
      <c r="F221" s="160"/>
      <c r="G221" s="91"/>
      <c r="H221" s="74">
        <v>318832.62</v>
      </c>
      <c r="I221" s="74">
        <v>228155</v>
      </c>
      <c r="J221" s="74">
        <f t="shared" si="260"/>
        <v>90677.62</v>
      </c>
      <c r="K221" s="13"/>
      <c r="L221" s="13"/>
      <c r="M221" s="74">
        <v>0</v>
      </c>
      <c r="N221" s="18">
        <v>0</v>
      </c>
      <c r="O221" s="18">
        <v>0</v>
      </c>
      <c r="P221" s="13">
        <v>0</v>
      </c>
      <c r="S221" s="13"/>
      <c r="T221" s="13"/>
    </row>
    <row r="222" spans="1:29">
      <c r="A222" s="20">
        <v>333</v>
      </c>
      <c r="B222" s="16" t="s">
        <v>381</v>
      </c>
      <c r="C222" s="138"/>
      <c r="D222" s="102"/>
      <c r="E222" s="160" t="s">
        <v>287</v>
      </c>
      <c r="F222" s="160"/>
      <c r="G222" s="91"/>
      <c r="H222" s="74">
        <v>92199.14</v>
      </c>
      <c r="I222" s="74">
        <v>92199</v>
      </c>
      <c r="J222" s="74">
        <f t="shared" si="260"/>
        <v>0.13999999999941792</v>
      </c>
      <c r="K222" s="13"/>
      <c r="L222" s="13"/>
      <c r="M222" s="74">
        <v>0</v>
      </c>
      <c r="N222" s="18">
        <v>0</v>
      </c>
      <c r="O222" s="18">
        <v>0</v>
      </c>
      <c r="P222" s="13">
        <v>0</v>
      </c>
      <c r="S222" s="13"/>
      <c r="T222" s="13"/>
    </row>
    <row r="223" spans="1:29">
      <c r="A223" s="20">
        <v>334</v>
      </c>
      <c r="B223" s="16" t="s">
        <v>13</v>
      </c>
      <c r="C223" s="138"/>
      <c r="D223" s="102"/>
      <c r="E223" s="160" t="s">
        <v>287</v>
      </c>
      <c r="F223" s="160"/>
      <c r="G223" s="91"/>
      <c r="H223" s="74">
        <v>145374.73000000001</v>
      </c>
      <c r="I223" s="74">
        <v>78464</v>
      </c>
      <c r="J223" s="74">
        <f t="shared" si="260"/>
        <v>66910.73000000001</v>
      </c>
      <c r="K223" s="13"/>
      <c r="L223" s="13"/>
      <c r="M223" s="74">
        <v>0</v>
      </c>
      <c r="N223" s="18">
        <v>0</v>
      </c>
      <c r="O223" s="18">
        <v>0</v>
      </c>
      <c r="P223" s="13">
        <v>0</v>
      </c>
      <c r="S223" s="13"/>
      <c r="T223" s="13"/>
    </row>
    <row r="224" spans="1:29">
      <c r="A224" s="20">
        <v>336</v>
      </c>
      <c r="B224" s="16" t="s">
        <v>164</v>
      </c>
      <c r="C224" s="138"/>
      <c r="D224" s="102"/>
      <c r="E224" s="160" t="s">
        <v>287</v>
      </c>
      <c r="F224" s="160"/>
      <c r="G224" s="91"/>
      <c r="H224" s="74">
        <v>1261.1500000000001</v>
      </c>
      <c r="I224" s="74">
        <v>1261</v>
      </c>
      <c r="J224" s="74">
        <f t="shared" si="260"/>
        <v>0.15000000000009095</v>
      </c>
      <c r="K224" s="13"/>
      <c r="L224" s="13"/>
      <c r="M224" s="74">
        <v>0</v>
      </c>
      <c r="N224" s="21">
        <v>0</v>
      </c>
      <c r="O224" s="18">
        <v>0</v>
      </c>
      <c r="P224" s="13">
        <v>0</v>
      </c>
      <c r="S224" s="13"/>
      <c r="T224" s="13"/>
    </row>
    <row r="225" spans="1:29">
      <c r="B225" s="33" t="s">
        <v>92</v>
      </c>
      <c r="C225" s="23"/>
      <c r="D225" s="102"/>
      <c r="F225" s="96"/>
      <c r="G225" s="72"/>
      <c r="H225" s="75">
        <f>+SUBTOTAL(9,H219:H224)</f>
        <v>593217.28000000003</v>
      </c>
      <c r="I225" s="75">
        <f>+SUBTOTAL(9,I219:I224)</f>
        <v>435629</v>
      </c>
      <c r="J225" s="75">
        <f>+SUBTOTAL(9,J219:J224)</f>
        <v>157588.28</v>
      </c>
      <c r="K225" s="13"/>
      <c r="L225" s="13"/>
      <c r="M225" s="75">
        <f>+SUBTOTAL(9,M219:M224)</f>
        <v>0</v>
      </c>
      <c r="N225" s="30">
        <f>+ROUND(M225/H225*100,2)</f>
        <v>0</v>
      </c>
      <c r="O225" s="31"/>
      <c r="P225" s="103">
        <f>+SUBTOTAL(9,P219:P224)</f>
        <v>0</v>
      </c>
      <c r="S225" s="13"/>
      <c r="T225" s="13"/>
    </row>
    <row r="226" spans="1:29">
      <c r="B226" s="17"/>
      <c r="C226" s="17"/>
      <c r="F226" s="96"/>
      <c r="G226" s="72"/>
      <c r="I226" s="73"/>
      <c r="J226" s="73"/>
      <c r="K226" s="19"/>
      <c r="L226" s="19"/>
      <c r="M226" s="73"/>
      <c r="N226" s="27"/>
      <c r="O226" s="31"/>
      <c r="P226" s="19"/>
      <c r="S226" s="19"/>
      <c r="T226" s="19"/>
    </row>
    <row r="227" spans="1:29">
      <c r="B227" s="55" t="s">
        <v>31</v>
      </c>
      <c r="C227" s="43"/>
      <c r="F227" s="96"/>
      <c r="G227" s="72"/>
      <c r="I227" s="73"/>
      <c r="J227" s="73"/>
      <c r="K227" s="19"/>
      <c r="L227" s="19"/>
      <c r="M227" s="73"/>
      <c r="N227" s="27"/>
      <c r="O227" s="31"/>
      <c r="P227" s="19"/>
      <c r="S227" s="19"/>
      <c r="T227" s="19"/>
    </row>
    <row r="228" spans="1:29">
      <c r="A228" s="20">
        <v>331</v>
      </c>
      <c r="B228" s="15" t="s">
        <v>162</v>
      </c>
      <c r="C228" s="138">
        <v>47848</v>
      </c>
      <c r="D228" s="102">
        <v>2E-3</v>
      </c>
      <c r="E228" s="152">
        <v>2E-3</v>
      </c>
      <c r="F228" s="97">
        <v>-0.01</v>
      </c>
      <c r="G228" s="91">
        <f t="shared" ref="G228:G232" si="261">H228*F228</f>
        <v>-5347.8083999999999</v>
      </c>
      <c r="H228" s="74">
        <v>534780.84</v>
      </c>
      <c r="I228" s="74">
        <v>130303</v>
      </c>
      <c r="J228" s="74">
        <f t="shared" ref="J228:J232" si="262">H228-G228-I228</f>
        <v>409825.64839999995</v>
      </c>
      <c r="K228" s="13">
        <f>2030-2011</f>
        <v>19</v>
      </c>
      <c r="L228" s="32">
        <f>(1-(D228/2)*K228)*K228</f>
        <v>18.638999999999999</v>
      </c>
      <c r="M228" s="74">
        <f>J228/L228</f>
        <v>21987.534116637158</v>
      </c>
      <c r="N228" s="68">
        <f>M228/H228</f>
        <v>4.1115037174176174E-2</v>
      </c>
      <c r="O228" s="32">
        <v>18.600000000000001</v>
      </c>
      <c r="P228" s="13">
        <v>22272</v>
      </c>
      <c r="Q228" s="119">
        <f t="shared" ref="Q228:Q232" si="263">M228-P228</f>
        <v>-284.46588336284185</v>
      </c>
      <c r="S228" s="13">
        <v>23538</v>
      </c>
      <c r="T228" s="13">
        <f t="shared" ref="T228:T232" si="264">M228-S228</f>
        <v>-1550.4658833628419</v>
      </c>
      <c r="W228" s="124">
        <v>0.4200275</v>
      </c>
      <c r="Y228" s="79">
        <f t="shared" ref="Y228:Y232" si="265">M228*W228</f>
        <v>9235.3689861758139</v>
      </c>
      <c r="Z228" s="79">
        <f t="shared" ref="Z228:Z232" si="266">P228*W228</f>
        <v>9354.8524799999996</v>
      </c>
      <c r="AA228" s="79">
        <f t="shared" ref="AA228:AA232" si="267">Q228*W228</f>
        <v>-119.48349382418606</v>
      </c>
      <c r="AB228" s="79">
        <f t="shared" ref="AB228:AB232" si="268">S228*W228</f>
        <v>9886.6072949999998</v>
      </c>
      <c r="AC228" s="79">
        <f t="shared" ref="AC228:AC232" si="269">T228*W228</f>
        <v>-651.23830882418611</v>
      </c>
    </row>
    <row r="229" spans="1:29">
      <c r="A229" s="20">
        <v>332</v>
      </c>
      <c r="B229" s="16" t="s">
        <v>163</v>
      </c>
      <c r="C229" s="138">
        <v>47848</v>
      </c>
      <c r="D229" s="102">
        <v>1.5E-3</v>
      </c>
      <c r="E229" s="152">
        <v>1.5E-3</v>
      </c>
      <c r="F229" s="97">
        <v>-0.01</v>
      </c>
      <c r="G229" s="91">
        <f t="shared" si="261"/>
        <v>-37697.822899999999</v>
      </c>
      <c r="H229" s="74">
        <v>3769782.29</v>
      </c>
      <c r="I229" s="74">
        <v>1289268</v>
      </c>
      <c r="J229" s="74">
        <f t="shared" si="262"/>
        <v>2518212.1129000001</v>
      </c>
      <c r="K229" s="13">
        <f t="shared" ref="K229:K232" si="270">2030-2011</f>
        <v>19</v>
      </c>
      <c r="L229" s="32">
        <f>(1-(D229/2)*K229)*K229</f>
        <v>18.72925</v>
      </c>
      <c r="M229" s="74">
        <f>J229/L229</f>
        <v>134453.44116288694</v>
      </c>
      <c r="N229" s="68">
        <f>M229/H229</f>
        <v>3.5666102395235919E-2</v>
      </c>
      <c r="O229" s="32">
        <v>18.8</v>
      </c>
      <c r="P229" s="13">
        <v>134298</v>
      </c>
      <c r="Q229" s="119">
        <f t="shared" si="263"/>
        <v>155.44116288694204</v>
      </c>
      <c r="S229" s="13">
        <v>135424</v>
      </c>
      <c r="T229" s="13">
        <f t="shared" si="264"/>
        <v>-970.55883711305796</v>
      </c>
      <c r="W229" s="124">
        <v>0.4200275</v>
      </c>
      <c r="Y229" s="79">
        <f t="shared" si="265"/>
        <v>56474.142758044494</v>
      </c>
      <c r="Z229" s="79">
        <f t="shared" si="266"/>
        <v>56408.853195000003</v>
      </c>
      <c r="AA229" s="79">
        <f t="shared" si="267"/>
        <v>65.28956304449504</v>
      </c>
      <c r="AB229" s="79">
        <f t="shared" si="268"/>
        <v>56881.80416</v>
      </c>
      <c r="AC229" s="79">
        <f t="shared" si="269"/>
        <v>-407.66140195550497</v>
      </c>
    </row>
    <row r="230" spans="1:29">
      <c r="A230" s="20">
        <v>333</v>
      </c>
      <c r="B230" s="16" t="s">
        <v>381</v>
      </c>
      <c r="C230" s="138">
        <v>47848</v>
      </c>
      <c r="D230" s="102">
        <v>4.4999999999999997E-3</v>
      </c>
      <c r="E230" s="152">
        <v>4.4999999999999997E-3</v>
      </c>
      <c r="F230" s="97">
        <v>-0.02</v>
      </c>
      <c r="G230" s="91">
        <f t="shared" si="261"/>
        <v>-14414.041200000001</v>
      </c>
      <c r="H230" s="74">
        <v>720702.06</v>
      </c>
      <c r="I230" s="74">
        <v>356684</v>
      </c>
      <c r="J230" s="74">
        <f t="shared" si="262"/>
        <v>378432.10120000003</v>
      </c>
      <c r="K230" s="13">
        <f t="shared" si="270"/>
        <v>19</v>
      </c>
      <c r="L230" s="32">
        <f>(1-(D230/2)*K230)*K230</f>
        <v>18.187750000000001</v>
      </c>
      <c r="M230" s="74">
        <f>J230/L230</f>
        <v>20806.977289659248</v>
      </c>
      <c r="N230" s="68">
        <f>M230/H230</f>
        <v>2.8870428495319199E-2</v>
      </c>
      <c r="O230" s="32">
        <v>18.2</v>
      </c>
      <c r="P230" s="13">
        <v>21576</v>
      </c>
      <c r="Q230" s="119">
        <f t="shared" si="263"/>
        <v>-769.02271034075238</v>
      </c>
      <c r="S230" s="13">
        <v>21901</v>
      </c>
      <c r="T230" s="13">
        <f t="shared" si="264"/>
        <v>-1094.0227103407524</v>
      </c>
      <c r="W230" s="124">
        <v>0.4200275</v>
      </c>
      <c r="Y230" s="79">
        <f t="shared" si="265"/>
        <v>8739.5026535323505</v>
      </c>
      <c r="Z230" s="79">
        <f t="shared" si="266"/>
        <v>9062.5133399999995</v>
      </c>
      <c r="AA230" s="79">
        <f t="shared" si="267"/>
        <v>-323.01068646765037</v>
      </c>
      <c r="AB230" s="79">
        <f t="shared" si="268"/>
        <v>9199.0222775000002</v>
      </c>
      <c r="AC230" s="79">
        <f t="shared" si="269"/>
        <v>-459.51962396765038</v>
      </c>
    </row>
    <row r="231" spans="1:29">
      <c r="A231" s="20">
        <v>334</v>
      </c>
      <c r="B231" s="16" t="s">
        <v>13</v>
      </c>
      <c r="C231" s="138">
        <v>47848</v>
      </c>
      <c r="D231" s="102">
        <v>5.0000000000000001E-3</v>
      </c>
      <c r="E231" s="152">
        <v>4.0000000000000001E-3</v>
      </c>
      <c r="F231" s="97">
        <v>-0.01</v>
      </c>
      <c r="G231" s="91">
        <f t="shared" si="261"/>
        <v>-2106.2463000000002</v>
      </c>
      <c r="H231" s="74">
        <v>210624.63</v>
      </c>
      <c r="I231" s="74">
        <v>88372</v>
      </c>
      <c r="J231" s="74">
        <f t="shared" si="262"/>
        <v>124358.8763</v>
      </c>
      <c r="K231" s="13">
        <f t="shared" si="270"/>
        <v>19</v>
      </c>
      <c r="L231" s="32">
        <f>(1-(D231/2)*K231)*K231</f>
        <v>18.0975</v>
      </c>
      <c r="M231" s="74">
        <f>J231/L231</f>
        <v>6871.6052659207071</v>
      </c>
      <c r="N231" s="68">
        <f>M231/H231</f>
        <v>3.2624889434444145E-2</v>
      </c>
      <c r="O231" s="32">
        <v>17.399999999999999</v>
      </c>
      <c r="P231" s="13">
        <v>7528</v>
      </c>
      <c r="Q231" s="119">
        <f t="shared" si="263"/>
        <v>-656.3947340792929</v>
      </c>
      <c r="S231" s="13">
        <v>7498</v>
      </c>
      <c r="T231" s="13">
        <f t="shared" si="264"/>
        <v>-626.3947340792929</v>
      </c>
      <c r="W231" s="124">
        <v>0.4200275</v>
      </c>
      <c r="Y231" s="79">
        <f t="shared" si="265"/>
        <v>2886.26318083151</v>
      </c>
      <c r="Z231" s="79">
        <f t="shared" si="266"/>
        <v>3161.96702</v>
      </c>
      <c r="AA231" s="79">
        <f t="shared" si="267"/>
        <v>-275.70383916849022</v>
      </c>
      <c r="AB231" s="79">
        <f t="shared" si="268"/>
        <v>3149.3661950000001</v>
      </c>
      <c r="AC231" s="79">
        <f t="shared" si="269"/>
        <v>-263.10301416849018</v>
      </c>
    </row>
    <row r="232" spans="1:29">
      <c r="A232" s="20">
        <v>335</v>
      </c>
      <c r="B232" s="15" t="s">
        <v>378</v>
      </c>
      <c r="C232" s="138">
        <v>47848</v>
      </c>
      <c r="D232" s="102">
        <v>7.0000000000000001E-3</v>
      </c>
      <c r="E232" s="152">
        <v>6.0000000000000001E-3</v>
      </c>
      <c r="F232" s="97">
        <v>-0.01</v>
      </c>
      <c r="G232" s="91">
        <f t="shared" si="261"/>
        <v>-14.098100000000001</v>
      </c>
      <c r="H232" s="74">
        <v>1409.81</v>
      </c>
      <c r="I232" s="74">
        <v>832</v>
      </c>
      <c r="J232" s="74">
        <f t="shared" si="262"/>
        <v>591.90809999999988</v>
      </c>
      <c r="K232" s="13">
        <f t="shared" si="270"/>
        <v>19</v>
      </c>
      <c r="L232" s="32">
        <f>(1-(D232/2)*K232)*K232</f>
        <v>17.736499999999999</v>
      </c>
      <c r="M232" s="74">
        <f>J232/L232</f>
        <v>33.372316973472778</v>
      </c>
      <c r="N232" s="88">
        <f>M232/H232</f>
        <v>2.3671499686817924E-2</v>
      </c>
      <c r="O232" s="32">
        <v>17.8</v>
      </c>
      <c r="P232" s="13">
        <v>34</v>
      </c>
      <c r="Q232" s="119">
        <f t="shared" si="263"/>
        <v>-0.62768302652722241</v>
      </c>
      <c r="S232" s="13">
        <v>34</v>
      </c>
      <c r="T232" s="13">
        <f t="shared" si="264"/>
        <v>-0.62768302652722241</v>
      </c>
      <c r="W232" s="124">
        <v>0.4200275</v>
      </c>
      <c r="Y232" s="79">
        <f t="shared" si="265"/>
        <v>14.017290867575337</v>
      </c>
      <c r="Z232" s="79">
        <f t="shared" si="266"/>
        <v>14.280934999999999</v>
      </c>
      <c r="AA232" s="79">
        <f t="shared" si="267"/>
        <v>-0.26364413242466289</v>
      </c>
      <c r="AB232" s="79">
        <f t="shared" si="268"/>
        <v>14.280934999999999</v>
      </c>
      <c r="AC232" s="79">
        <f t="shared" si="269"/>
        <v>-0.26364413242466289</v>
      </c>
    </row>
    <row r="233" spans="1:29">
      <c r="B233" s="33" t="s">
        <v>32</v>
      </c>
      <c r="C233" s="23"/>
      <c r="D233" s="102"/>
      <c r="E233" s="152"/>
      <c r="F233" s="96"/>
      <c r="G233" s="72"/>
      <c r="H233" s="75">
        <f>+SUBTOTAL(9,H226:H232)</f>
        <v>5237299.629999999</v>
      </c>
      <c r="I233" s="75">
        <f>+SUBTOTAL(9,I226:I232)</f>
        <v>1865459</v>
      </c>
      <c r="J233" s="75">
        <f>+SUBTOTAL(9,J226:J232)</f>
        <v>3431420.6469000001</v>
      </c>
      <c r="K233" s="13"/>
      <c r="L233" s="13"/>
      <c r="M233" s="75">
        <f>+SUBTOTAL(9,M226:M232)</f>
        <v>184152.93015207755</v>
      </c>
      <c r="N233" s="27">
        <f>+ROUND(M233/H233*100,2)</f>
        <v>3.52</v>
      </c>
      <c r="O233" s="31"/>
      <c r="P233" s="103">
        <f>+SUBTOTAL(9,P226:P232)</f>
        <v>185708</v>
      </c>
      <c r="Q233" s="120">
        <f>+SUBTOTAL(9,Q226:Q232)</f>
        <v>-1555.0698479224723</v>
      </c>
      <c r="S233" s="103">
        <f>+SUBTOTAL(9,S226:S232)</f>
        <v>188395</v>
      </c>
      <c r="T233" s="103">
        <f>+SUBTOTAL(9,T226:T232)</f>
        <v>-4242.069847922472</v>
      </c>
      <c r="Y233" s="75">
        <f t="shared" ref="Y233:AC233" si="271">+SUBTOTAL(9,Y226:Y232)</f>
        <v>77349.29486945174</v>
      </c>
      <c r="Z233" s="75">
        <f t="shared" si="271"/>
        <v>78002.466970000009</v>
      </c>
      <c r="AA233" s="75">
        <f t="shared" si="271"/>
        <v>-653.17210054825625</v>
      </c>
      <c r="AB233" s="75">
        <f t="shared" si="271"/>
        <v>79131.080862499992</v>
      </c>
      <c r="AC233" s="75">
        <f t="shared" si="271"/>
        <v>-1781.7859930482562</v>
      </c>
    </row>
    <row r="234" spans="1:29">
      <c r="C234" s="43"/>
      <c r="E234" s="153"/>
      <c r="F234" s="96"/>
      <c r="G234" s="72"/>
      <c r="I234" s="73"/>
      <c r="J234" s="73"/>
      <c r="K234" s="19"/>
      <c r="L234" s="19"/>
      <c r="M234" s="73"/>
      <c r="N234" s="27"/>
      <c r="O234" s="31"/>
      <c r="P234" s="19"/>
      <c r="S234" s="19"/>
      <c r="T234" s="19"/>
    </row>
    <row r="235" spans="1:29">
      <c r="B235" s="55" t="s">
        <v>33</v>
      </c>
      <c r="C235" s="43"/>
      <c r="E235" s="153"/>
      <c r="F235" s="96"/>
      <c r="G235" s="72"/>
      <c r="I235" s="73"/>
      <c r="J235" s="73"/>
      <c r="K235" s="19"/>
      <c r="L235" s="19"/>
      <c r="M235" s="73"/>
      <c r="N235" s="27"/>
      <c r="O235" s="31"/>
      <c r="P235" s="19"/>
      <c r="S235" s="19"/>
      <c r="T235" s="19"/>
    </row>
    <row r="236" spans="1:29">
      <c r="A236" s="20">
        <v>330.2</v>
      </c>
      <c r="B236" s="16" t="s">
        <v>10</v>
      </c>
      <c r="C236" s="138">
        <v>44196</v>
      </c>
      <c r="D236" s="102"/>
      <c r="E236" s="152"/>
      <c r="F236" s="97">
        <v>0</v>
      </c>
      <c r="G236" s="91">
        <f t="shared" ref="G236:G243" si="272">H236*F236</f>
        <v>0</v>
      </c>
      <c r="H236" s="74">
        <v>638992.96</v>
      </c>
      <c r="I236" s="74">
        <v>301660</v>
      </c>
      <c r="J236" s="74">
        <f t="shared" ref="J236:J243" si="273">H236-G236-I236</f>
        <v>337332.95999999996</v>
      </c>
      <c r="K236" s="13">
        <f>2020-2011</f>
        <v>9</v>
      </c>
      <c r="L236" s="32">
        <f t="shared" ref="L236:L243" si="274">(1-(D236/2)*K236)*K236</f>
        <v>9</v>
      </c>
      <c r="M236" s="74">
        <f t="shared" ref="M236:M243" si="275">J236/L236</f>
        <v>37481.439999999995</v>
      </c>
      <c r="N236" s="68">
        <f t="shared" ref="N236:N243" si="276">M236/H236</f>
        <v>5.8657046863239304E-2</v>
      </c>
      <c r="O236" s="32">
        <v>9</v>
      </c>
      <c r="P236" s="13">
        <v>37482</v>
      </c>
      <c r="Q236" s="119">
        <f t="shared" ref="Q236:Q243" si="277">M236-P236</f>
        <v>-0.56000000000494765</v>
      </c>
      <c r="S236" s="13">
        <v>44883</v>
      </c>
      <c r="T236" s="13">
        <f t="shared" ref="T236:T243" si="278">M236-S236</f>
        <v>-7401.5600000000049</v>
      </c>
      <c r="W236" s="124">
        <v>0.4200275</v>
      </c>
      <c r="Y236" s="79">
        <f t="shared" ref="Y236:Y243" si="279">M236*W236</f>
        <v>15743.235539599998</v>
      </c>
      <c r="Z236" s="79">
        <f t="shared" ref="Z236:Z243" si="280">P236*W236</f>
        <v>15743.470755</v>
      </c>
      <c r="AA236" s="79">
        <f t="shared" ref="AA236:AA243" si="281">Q236*W236</f>
        <v>-0.23521540000207816</v>
      </c>
      <c r="AB236" s="79">
        <f t="shared" ref="AB236:AB243" si="282">S236*W236</f>
        <v>18852.094282499998</v>
      </c>
      <c r="AC236" s="79">
        <f t="shared" ref="AC236:AC243" si="283">T236*W236</f>
        <v>-3108.8587429000022</v>
      </c>
    </row>
    <row r="237" spans="1:29">
      <c r="A237" s="20">
        <v>330.4</v>
      </c>
      <c r="B237" s="16" t="s">
        <v>24</v>
      </c>
      <c r="C237" s="138">
        <v>44196</v>
      </c>
      <c r="D237" s="102"/>
      <c r="E237" s="152"/>
      <c r="F237" s="97">
        <v>0</v>
      </c>
      <c r="G237" s="91">
        <f t="shared" si="272"/>
        <v>0</v>
      </c>
      <c r="H237" s="74">
        <v>252509.75</v>
      </c>
      <c r="I237" s="74">
        <v>152481</v>
      </c>
      <c r="J237" s="74">
        <f t="shared" si="273"/>
        <v>100028.75</v>
      </c>
      <c r="K237" s="13">
        <f t="shared" ref="K237:K243" si="284">2020-2011</f>
        <v>9</v>
      </c>
      <c r="L237" s="32">
        <f t="shared" si="274"/>
        <v>9</v>
      </c>
      <c r="M237" s="74">
        <f t="shared" si="275"/>
        <v>11114.305555555555</v>
      </c>
      <c r="N237" s="68">
        <f t="shared" si="276"/>
        <v>4.4015352102465564E-2</v>
      </c>
      <c r="O237" s="32">
        <v>9</v>
      </c>
      <c r="P237" s="13">
        <v>11115</v>
      </c>
      <c r="Q237" s="119">
        <f t="shared" si="277"/>
        <v>-0.69444444444525288</v>
      </c>
      <c r="S237" s="13">
        <v>13315</v>
      </c>
      <c r="T237" s="13">
        <f t="shared" si="278"/>
        <v>-2200.6944444444453</v>
      </c>
      <c r="W237" s="124">
        <v>0.4200275</v>
      </c>
      <c r="Y237" s="79">
        <f t="shared" si="279"/>
        <v>4668.3139767361108</v>
      </c>
      <c r="Z237" s="79">
        <f t="shared" si="280"/>
        <v>4668.6056625000001</v>
      </c>
      <c r="AA237" s="79">
        <f t="shared" si="281"/>
        <v>-0.29168576388922846</v>
      </c>
      <c r="AB237" s="79">
        <f t="shared" si="282"/>
        <v>5592.6661624999997</v>
      </c>
      <c r="AC237" s="79">
        <f t="shared" si="283"/>
        <v>-924.35218576388922</v>
      </c>
    </row>
    <row r="238" spans="1:29">
      <c r="A238" s="20">
        <v>331</v>
      </c>
      <c r="B238" s="15" t="s">
        <v>162</v>
      </c>
      <c r="C238" s="138">
        <v>44196</v>
      </c>
      <c r="D238" s="102">
        <v>2E-3</v>
      </c>
      <c r="E238" s="152">
        <v>2E-3</v>
      </c>
      <c r="F238" s="97">
        <v>0</v>
      </c>
      <c r="G238" s="91">
        <f t="shared" si="272"/>
        <v>0</v>
      </c>
      <c r="H238" s="74">
        <v>902611.29</v>
      </c>
      <c r="I238" s="74">
        <v>394187</v>
      </c>
      <c r="J238" s="74">
        <f t="shared" si="273"/>
        <v>508424.29000000004</v>
      </c>
      <c r="K238" s="13">
        <f t="shared" si="284"/>
        <v>9</v>
      </c>
      <c r="L238" s="32">
        <f t="shared" si="274"/>
        <v>8.9190000000000005</v>
      </c>
      <c r="M238" s="74">
        <f t="shared" si="275"/>
        <v>57004.629442762642</v>
      </c>
      <c r="N238" s="68">
        <f t="shared" si="276"/>
        <v>6.3155236450413377E-2</v>
      </c>
      <c r="O238" s="32">
        <v>8.9</v>
      </c>
      <c r="P238" s="13">
        <v>58131</v>
      </c>
      <c r="Q238" s="119">
        <f t="shared" si="277"/>
        <v>-1126.3705572373583</v>
      </c>
      <c r="S238" s="13">
        <v>70648</v>
      </c>
      <c r="T238" s="13">
        <f t="shared" si="278"/>
        <v>-13643.370557237358</v>
      </c>
      <c r="W238" s="124">
        <v>0.4200275</v>
      </c>
      <c r="Y238" s="79">
        <f t="shared" si="279"/>
        <v>23943.511993269985</v>
      </c>
      <c r="Z238" s="79">
        <f t="shared" si="280"/>
        <v>24416.618602499999</v>
      </c>
      <c r="AA238" s="79">
        <f t="shared" si="281"/>
        <v>-473.1066092300145</v>
      </c>
      <c r="AB238" s="79">
        <f t="shared" si="282"/>
        <v>29674.10282</v>
      </c>
      <c r="AC238" s="79">
        <f t="shared" si="283"/>
        <v>-5730.5908267300147</v>
      </c>
    </row>
    <row r="239" spans="1:29">
      <c r="A239" s="20">
        <v>332</v>
      </c>
      <c r="B239" s="16" t="s">
        <v>163</v>
      </c>
      <c r="C239" s="138">
        <v>44196</v>
      </c>
      <c r="D239" s="102">
        <v>1.5E-3</v>
      </c>
      <c r="E239" s="152">
        <v>1.5E-3</v>
      </c>
      <c r="F239" s="97">
        <v>0</v>
      </c>
      <c r="G239" s="91">
        <f t="shared" si="272"/>
        <v>0</v>
      </c>
      <c r="H239" s="74">
        <v>11773874.4</v>
      </c>
      <c r="I239" s="74">
        <v>6851048</v>
      </c>
      <c r="J239" s="74">
        <f t="shared" si="273"/>
        <v>4922826.4000000004</v>
      </c>
      <c r="K239" s="13">
        <f t="shared" si="284"/>
        <v>9</v>
      </c>
      <c r="L239" s="32">
        <f t="shared" si="274"/>
        <v>8.9392499999999995</v>
      </c>
      <c r="M239" s="74">
        <f t="shared" si="275"/>
        <v>550697.92208518623</v>
      </c>
      <c r="N239" s="68">
        <f t="shared" si="276"/>
        <v>4.6772872155421176E-2</v>
      </c>
      <c r="O239" s="32">
        <v>8.9</v>
      </c>
      <c r="P239" s="13">
        <v>566154</v>
      </c>
      <c r="Q239" s="119">
        <f t="shared" si="277"/>
        <v>-15456.077914813766</v>
      </c>
      <c r="S239" s="13">
        <v>678026</v>
      </c>
      <c r="T239" s="13">
        <f t="shared" si="278"/>
        <v>-127328.07791481377</v>
      </c>
      <c r="W239" s="124">
        <v>0.4200275</v>
      </c>
      <c r="Y239" s="79">
        <f t="shared" si="279"/>
        <v>231308.27146863556</v>
      </c>
      <c r="Z239" s="79">
        <f t="shared" si="280"/>
        <v>237800.249235</v>
      </c>
      <c r="AA239" s="79">
        <f t="shared" si="281"/>
        <v>-6491.977766364439</v>
      </c>
      <c r="AB239" s="79">
        <f t="shared" si="282"/>
        <v>284789.56571499998</v>
      </c>
      <c r="AC239" s="79">
        <f t="shared" si="283"/>
        <v>-53481.294246364436</v>
      </c>
    </row>
    <row r="240" spans="1:29">
      <c r="A240" s="20">
        <v>333</v>
      </c>
      <c r="B240" s="16" t="s">
        <v>381</v>
      </c>
      <c r="C240" s="138">
        <v>44196</v>
      </c>
      <c r="D240" s="102">
        <v>4.4999999999999997E-3</v>
      </c>
      <c r="E240" s="152">
        <v>4.4999999999999997E-3</v>
      </c>
      <c r="F240" s="97">
        <v>-0.01</v>
      </c>
      <c r="G240" s="91">
        <f t="shared" si="272"/>
        <v>-2842.0295000000001</v>
      </c>
      <c r="H240" s="74">
        <v>284202.95</v>
      </c>
      <c r="I240" s="74">
        <v>175105</v>
      </c>
      <c r="J240" s="74">
        <f t="shared" si="273"/>
        <v>111939.97950000002</v>
      </c>
      <c r="K240" s="13">
        <f t="shared" si="284"/>
        <v>9</v>
      </c>
      <c r="L240" s="32">
        <f t="shared" si="274"/>
        <v>8.8177500000000002</v>
      </c>
      <c r="M240" s="74">
        <f t="shared" si="275"/>
        <v>12694.846134217914</v>
      </c>
      <c r="N240" s="68">
        <f t="shared" si="276"/>
        <v>4.4668241952512858E-2</v>
      </c>
      <c r="O240" s="32">
        <v>8.6</v>
      </c>
      <c r="P240" s="13">
        <v>14080</v>
      </c>
      <c r="Q240" s="119">
        <f t="shared" si="277"/>
        <v>-1385.1538657820856</v>
      </c>
      <c r="S240" s="13">
        <v>16198</v>
      </c>
      <c r="T240" s="13">
        <f t="shared" si="278"/>
        <v>-3503.1538657820856</v>
      </c>
      <c r="W240" s="124">
        <v>0.4200275</v>
      </c>
      <c r="Y240" s="79">
        <f t="shared" si="279"/>
        <v>5332.1844846402146</v>
      </c>
      <c r="Z240" s="79">
        <f t="shared" si="280"/>
        <v>5913.9871999999996</v>
      </c>
      <c r="AA240" s="79">
        <f t="shared" si="281"/>
        <v>-581.802715359785</v>
      </c>
      <c r="AB240" s="79">
        <f t="shared" si="282"/>
        <v>6803.6054450000001</v>
      </c>
      <c r="AC240" s="79">
        <f t="shared" si="283"/>
        <v>-1471.4209603597849</v>
      </c>
    </row>
    <row r="241" spans="1:29">
      <c r="A241" s="20">
        <v>334</v>
      </c>
      <c r="B241" s="16" t="s">
        <v>13</v>
      </c>
      <c r="C241" s="138">
        <v>44196</v>
      </c>
      <c r="D241" s="102">
        <v>5.0000000000000001E-3</v>
      </c>
      <c r="E241" s="152">
        <v>4.0000000000000001E-3</v>
      </c>
      <c r="F241" s="97">
        <v>0</v>
      </c>
      <c r="G241" s="91">
        <f t="shared" si="272"/>
        <v>0</v>
      </c>
      <c r="H241" s="74">
        <v>850584.91</v>
      </c>
      <c r="I241" s="74">
        <v>349150</v>
      </c>
      <c r="J241" s="74">
        <f t="shared" si="273"/>
        <v>501434.91000000003</v>
      </c>
      <c r="K241" s="13">
        <f t="shared" si="284"/>
        <v>9</v>
      </c>
      <c r="L241" s="32">
        <f t="shared" si="274"/>
        <v>8.7974999999999994</v>
      </c>
      <c r="M241" s="74">
        <f t="shared" si="275"/>
        <v>56997.432225063945</v>
      </c>
      <c r="N241" s="68">
        <f t="shared" si="276"/>
        <v>6.7009691278280423E-2</v>
      </c>
      <c r="O241" s="32">
        <v>8.6999999999999993</v>
      </c>
      <c r="P241" s="13">
        <v>58798</v>
      </c>
      <c r="Q241" s="119">
        <f t="shared" si="277"/>
        <v>-1800.5677749360548</v>
      </c>
      <c r="S241" s="13">
        <v>69633</v>
      </c>
      <c r="T241" s="13">
        <f t="shared" si="278"/>
        <v>-12635.567774936055</v>
      </c>
      <c r="W241" s="124">
        <v>0.4200275</v>
      </c>
      <c r="Y241" s="79">
        <f t="shared" si="279"/>
        <v>23940.488963913045</v>
      </c>
      <c r="Z241" s="79">
        <f t="shared" si="280"/>
        <v>24696.776945000001</v>
      </c>
      <c r="AA241" s="79">
        <f t="shared" si="281"/>
        <v>-756.28798108695378</v>
      </c>
      <c r="AB241" s="79">
        <f t="shared" si="282"/>
        <v>29247.774907499999</v>
      </c>
      <c r="AC241" s="79">
        <f t="shared" si="283"/>
        <v>-5307.2859435869541</v>
      </c>
    </row>
    <row r="242" spans="1:29">
      <c r="A242" s="20">
        <v>335</v>
      </c>
      <c r="B242" s="15" t="s">
        <v>378</v>
      </c>
      <c r="C242" s="138">
        <v>44196</v>
      </c>
      <c r="D242" s="102">
        <v>7.0000000000000001E-3</v>
      </c>
      <c r="E242" s="152">
        <v>6.0000000000000001E-3</v>
      </c>
      <c r="F242" s="97">
        <v>0</v>
      </c>
      <c r="G242" s="91">
        <f t="shared" si="272"/>
        <v>0</v>
      </c>
      <c r="H242" s="74">
        <v>61787.58</v>
      </c>
      <c r="I242" s="74">
        <v>32488</v>
      </c>
      <c r="J242" s="74">
        <f t="shared" si="273"/>
        <v>29299.58</v>
      </c>
      <c r="K242" s="13">
        <f t="shared" si="284"/>
        <v>9</v>
      </c>
      <c r="L242" s="32">
        <f t="shared" si="274"/>
        <v>8.7164999999999999</v>
      </c>
      <c r="M242" s="74">
        <f t="shared" si="275"/>
        <v>3361.3927608558483</v>
      </c>
      <c r="N242" s="68">
        <f t="shared" si="276"/>
        <v>5.4402401920512961E-2</v>
      </c>
      <c r="O242" s="32">
        <v>8.6</v>
      </c>
      <c r="P242" s="13">
        <v>3473</v>
      </c>
      <c r="Q242" s="119">
        <f t="shared" si="277"/>
        <v>-111.60723914415166</v>
      </c>
      <c r="S242" s="13">
        <v>4184</v>
      </c>
      <c r="T242" s="13">
        <f t="shared" si="278"/>
        <v>-822.60723914415166</v>
      </c>
      <c r="W242" s="124">
        <v>0.4200275</v>
      </c>
      <c r="Y242" s="79">
        <f t="shared" si="279"/>
        <v>1411.8773978603799</v>
      </c>
      <c r="Z242" s="79">
        <f t="shared" si="280"/>
        <v>1458.7555075</v>
      </c>
      <c r="AA242" s="79">
        <f t="shared" si="281"/>
        <v>-46.878109639620163</v>
      </c>
      <c r="AB242" s="79">
        <f t="shared" si="282"/>
        <v>1757.3950600000001</v>
      </c>
      <c r="AC242" s="79">
        <f t="shared" si="283"/>
        <v>-345.51766213962014</v>
      </c>
    </row>
    <row r="243" spans="1:29">
      <c r="A243" s="20">
        <v>336</v>
      </c>
      <c r="B243" s="16" t="s">
        <v>164</v>
      </c>
      <c r="C243" s="138">
        <v>44196</v>
      </c>
      <c r="D243" s="102">
        <v>2E-3</v>
      </c>
      <c r="E243" s="152">
        <v>0.01</v>
      </c>
      <c r="F243" s="97">
        <v>0</v>
      </c>
      <c r="G243" s="91">
        <f t="shared" si="272"/>
        <v>0</v>
      </c>
      <c r="H243" s="74">
        <v>241074.81</v>
      </c>
      <c r="I243" s="74">
        <v>112137</v>
      </c>
      <c r="J243" s="74">
        <f t="shared" si="273"/>
        <v>128937.81</v>
      </c>
      <c r="K243" s="13">
        <f t="shared" si="284"/>
        <v>9</v>
      </c>
      <c r="L243" s="32">
        <f t="shared" si="274"/>
        <v>8.9190000000000005</v>
      </c>
      <c r="M243" s="74">
        <f t="shared" si="275"/>
        <v>14456.53212243525</v>
      </c>
      <c r="N243" s="88">
        <f t="shared" si="276"/>
        <v>5.99669958152627E-2</v>
      </c>
      <c r="O243" s="32">
        <v>8.9</v>
      </c>
      <c r="P243" s="13">
        <v>14746</v>
      </c>
      <c r="Q243" s="119">
        <f t="shared" si="277"/>
        <v>-289.46787756474987</v>
      </c>
      <c r="S243" s="13">
        <v>17779</v>
      </c>
      <c r="T243" s="13">
        <f t="shared" si="278"/>
        <v>-3322.4678775647499</v>
      </c>
      <c r="W243" s="124">
        <v>0.4200275</v>
      </c>
      <c r="Y243" s="79">
        <f t="shared" si="279"/>
        <v>6072.1410460561719</v>
      </c>
      <c r="Z243" s="79">
        <f t="shared" si="280"/>
        <v>6193.7255150000001</v>
      </c>
      <c r="AA243" s="79">
        <f t="shared" si="281"/>
        <v>-121.58446894382797</v>
      </c>
      <c r="AB243" s="79">
        <f t="shared" si="282"/>
        <v>7467.6689225</v>
      </c>
      <c r="AC243" s="79">
        <f t="shared" si="283"/>
        <v>-1395.5278764438281</v>
      </c>
    </row>
    <row r="244" spans="1:29">
      <c r="B244" s="33" t="s">
        <v>34</v>
      </c>
      <c r="C244" s="23"/>
      <c r="D244" s="102"/>
      <c r="E244" s="152"/>
      <c r="F244" s="96"/>
      <c r="G244" s="72"/>
      <c r="H244" s="75">
        <f>+SUBTOTAL(9,H236:H243)</f>
        <v>15005638.65</v>
      </c>
      <c r="I244" s="75">
        <f>+SUBTOTAL(9,I236:I243)</f>
        <v>8368256</v>
      </c>
      <c r="J244" s="75">
        <f>+SUBTOTAL(9,J236:J243)</f>
        <v>6640224.6795000006</v>
      </c>
      <c r="K244" s="13"/>
      <c r="L244" s="13"/>
      <c r="M244" s="75">
        <f>+SUBTOTAL(9,M236:M243)</f>
        <v>743808.50032607734</v>
      </c>
      <c r="N244" s="27">
        <f>+ROUND(M244/H244*100,2)</f>
        <v>4.96</v>
      </c>
      <c r="O244" s="31"/>
      <c r="P244" s="103">
        <f>+SUBTOTAL(9,P236:P243)</f>
        <v>763979</v>
      </c>
      <c r="Q244" s="120">
        <f>+SUBTOTAL(9,Q236:Q243)</f>
        <v>-20170.499673922619</v>
      </c>
      <c r="S244" s="103">
        <f>+SUBTOTAL(9,S236:S243)</f>
        <v>914666</v>
      </c>
      <c r="T244" s="103">
        <f>+SUBTOTAL(9,T236:T243)</f>
        <v>-170857.4996739226</v>
      </c>
      <c r="Y244" s="75">
        <f t="shared" ref="Y244:AC244" si="285">+SUBTOTAL(9,Y236:Y243)</f>
        <v>312420.0248707115</v>
      </c>
      <c r="Z244" s="75">
        <f t="shared" si="285"/>
        <v>320892.18942249997</v>
      </c>
      <c r="AA244" s="75">
        <f t="shared" si="285"/>
        <v>-8472.1645517885299</v>
      </c>
      <c r="AB244" s="75">
        <f t="shared" si="285"/>
        <v>384184.87331499998</v>
      </c>
      <c r="AC244" s="75">
        <f t="shared" si="285"/>
        <v>-71764.848444288538</v>
      </c>
    </row>
    <row r="245" spans="1:29">
      <c r="C245" s="43"/>
      <c r="E245" s="153"/>
      <c r="F245" s="96"/>
      <c r="G245" s="72"/>
      <c r="I245" s="73"/>
      <c r="J245" s="73"/>
      <c r="K245" s="19"/>
      <c r="L245" s="19"/>
      <c r="M245" s="73"/>
      <c r="N245" s="27"/>
      <c r="O245" s="31"/>
      <c r="P245" s="19"/>
      <c r="S245" s="19"/>
      <c r="T245" s="19"/>
    </row>
    <row r="246" spans="1:29">
      <c r="B246" s="55" t="s">
        <v>187</v>
      </c>
      <c r="C246" s="43"/>
      <c r="E246" s="153"/>
      <c r="F246" s="96"/>
      <c r="G246" s="72"/>
      <c r="I246" s="73"/>
      <c r="J246" s="73"/>
      <c r="K246" s="19"/>
      <c r="L246" s="19"/>
      <c r="M246" s="73"/>
      <c r="N246" s="27"/>
      <c r="O246" s="31"/>
      <c r="P246" s="19"/>
      <c r="S246" s="19"/>
      <c r="T246" s="19"/>
    </row>
    <row r="247" spans="1:29">
      <c r="A247" s="20">
        <v>330.2</v>
      </c>
      <c r="B247" s="16" t="s">
        <v>10</v>
      </c>
      <c r="C247" s="138">
        <v>43830</v>
      </c>
      <c r="D247" s="102"/>
      <c r="E247" s="152"/>
      <c r="F247" s="97">
        <v>0</v>
      </c>
      <c r="G247" s="91">
        <f t="shared" ref="G247:G254" si="286">H247*F247</f>
        <v>0</v>
      </c>
      <c r="H247" s="74">
        <v>40941.300000000003</v>
      </c>
      <c r="I247" s="74">
        <v>23079</v>
      </c>
      <c r="J247" s="74">
        <f t="shared" ref="J247:J254" si="287">H247-G247-I247</f>
        <v>17862.300000000003</v>
      </c>
      <c r="K247" s="13">
        <f>2019-2011</f>
        <v>8</v>
      </c>
      <c r="L247" s="32">
        <f t="shared" ref="L247:L254" si="288">(1-(D247/2)*K247)*K247</f>
        <v>8</v>
      </c>
      <c r="M247" s="74">
        <f t="shared" ref="M247:M254" si="289">J247/L247</f>
        <v>2232.7875000000004</v>
      </c>
      <c r="N247" s="68">
        <f t="shared" ref="N247:N254" si="290">M247/H247</f>
        <v>5.4536311743886984E-2</v>
      </c>
      <c r="O247" s="32">
        <v>8</v>
      </c>
      <c r="P247" s="13">
        <v>2233</v>
      </c>
      <c r="Q247" s="119">
        <f t="shared" ref="Q247:Q254" si="291">M247-P247</f>
        <v>-0.2124999999996362</v>
      </c>
      <c r="S247" s="13">
        <v>2233</v>
      </c>
      <c r="T247" s="13">
        <f t="shared" ref="T247:T254" si="292">M247-S247</f>
        <v>-0.2124999999996362</v>
      </c>
      <c r="W247" s="124">
        <v>0.4200275</v>
      </c>
      <c r="Y247" s="79">
        <f t="shared" ref="Y247:Y254" si="293">M247*W247</f>
        <v>937.83215165625018</v>
      </c>
      <c r="Z247" s="79">
        <f t="shared" ref="Z247:Z254" si="294">P247*W247</f>
        <v>937.92140749999999</v>
      </c>
      <c r="AA247" s="79">
        <f t="shared" ref="AA247:AA254" si="295">Q247*W247</f>
        <v>-8.92558437498472E-2</v>
      </c>
      <c r="AB247" s="79">
        <f t="shared" ref="AB247:AB254" si="296">S247*W247</f>
        <v>937.92140749999999</v>
      </c>
      <c r="AC247" s="79">
        <f t="shared" ref="AC247:AC254" si="297">T247*W247</f>
        <v>-8.92558437498472E-2</v>
      </c>
    </row>
    <row r="248" spans="1:29">
      <c r="A248" s="20">
        <v>330.4</v>
      </c>
      <c r="B248" s="16" t="s">
        <v>24</v>
      </c>
      <c r="C248" s="138">
        <v>43830</v>
      </c>
      <c r="D248" s="102"/>
      <c r="E248" s="152"/>
      <c r="F248" s="97">
        <v>0</v>
      </c>
      <c r="G248" s="91">
        <f t="shared" si="286"/>
        <v>0</v>
      </c>
      <c r="H248" s="74">
        <v>1029.5</v>
      </c>
      <c r="I248" s="74">
        <v>581</v>
      </c>
      <c r="J248" s="74">
        <f t="shared" si="287"/>
        <v>448.5</v>
      </c>
      <c r="K248" s="13">
        <f t="shared" ref="K248:K254" si="298">2019-2011</f>
        <v>8</v>
      </c>
      <c r="L248" s="32">
        <f t="shared" si="288"/>
        <v>8</v>
      </c>
      <c r="M248" s="74">
        <f t="shared" si="289"/>
        <v>56.0625</v>
      </c>
      <c r="N248" s="68">
        <f t="shared" si="290"/>
        <v>5.4456046624575039E-2</v>
      </c>
      <c r="O248" s="32">
        <v>8</v>
      </c>
      <c r="P248" s="13">
        <v>56</v>
      </c>
      <c r="Q248" s="119">
        <f t="shared" si="291"/>
        <v>6.25E-2</v>
      </c>
      <c r="S248" s="13">
        <v>56</v>
      </c>
      <c r="T248" s="13">
        <f t="shared" si="292"/>
        <v>6.25E-2</v>
      </c>
      <c r="W248" s="124">
        <v>0.4200275</v>
      </c>
      <c r="Y248" s="79">
        <f t="shared" si="293"/>
        <v>23.547791718749998</v>
      </c>
      <c r="Z248" s="79">
        <f t="shared" si="294"/>
        <v>23.521540000000002</v>
      </c>
      <c r="AA248" s="79">
        <f t="shared" si="295"/>
        <v>2.625171875E-2</v>
      </c>
      <c r="AB248" s="79">
        <f t="shared" si="296"/>
        <v>23.521540000000002</v>
      </c>
      <c r="AC248" s="79">
        <f t="shared" si="297"/>
        <v>2.625171875E-2</v>
      </c>
    </row>
    <row r="249" spans="1:29">
      <c r="A249" s="20">
        <v>331</v>
      </c>
      <c r="B249" s="15" t="s">
        <v>162</v>
      </c>
      <c r="C249" s="138">
        <v>43830</v>
      </c>
      <c r="D249" s="102">
        <v>2E-3</v>
      </c>
      <c r="E249" s="152">
        <v>2E-3</v>
      </c>
      <c r="F249" s="97">
        <v>0</v>
      </c>
      <c r="G249" s="91">
        <f t="shared" si="286"/>
        <v>0</v>
      </c>
      <c r="H249" s="74">
        <v>13625273.83</v>
      </c>
      <c r="I249" s="74">
        <v>4600629</v>
      </c>
      <c r="J249" s="74">
        <f t="shared" si="287"/>
        <v>9024644.8300000001</v>
      </c>
      <c r="K249" s="13">
        <f t="shared" si="298"/>
        <v>8</v>
      </c>
      <c r="L249" s="32">
        <f t="shared" si="288"/>
        <v>7.9359999999999999</v>
      </c>
      <c r="M249" s="74">
        <f t="shared" si="289"/>
        <v>1137178.0279737904</v>
      </c>
      <c r="N249" s="68">
        <f t="shared" si="290"/>
        <v>8.3460930192093649E-2</v>
      </c>
      <c r="O249" s="32">
        <v>8</v>
      </c>
      <c r="P249" s="13">
        <v>1128079</v>
      </c>
      <c r="Q249" s="119">
        <f t="shared" si="291"/>
        <v>9099.0279737904202</v>
      </c>
      <c r="S249" s="13">
        <v>1138372</v>
      </c>
      <c r="T249" s="13">
        <f t="shared" si="292"/>
        <v>-1193.9720262095798</v>
      </c>
      <c r="W249" s="124">
        <v>0.4200275</v>
      </c>
      <c r="Y249" s="79">
        <f t="shared" si="293"/>
        <v>477646.04414476122</v>
      </c>
      <c r="Z249" s="79">
        <f t="shared" si="294"/>
        <v>473824.20217250002</v>
      </c>
      <c r="AA249" s="79">
        <f t="shared" si="295"/>
        <v>3821.8419722612557</v>
      </c>
      <c r="AB249" s="79">
        <f t="shared" si="296"/>
        <v>478147.54522999999</v>
      </c>
      <c r="AC249" s="79">
        <f t="shared" si="297"/>
        <v>-501.50108523874428</v>
      </c>
    </row>
    <row r="250" spans="1:29">
      <c r="A250" s="20">
        <v>332</v>
      </c>
      <c r="B250" s="16" t="s">
        <v>163</v>
      </c>
      <c r="C250" s="138">
        <v>43830</v>
      </c>
      <c r="D250" s="102">
        <v>1.5E-3</v>
      </c>
      <c r="E250" s="152">
        <v>1.5E-3</v>
      </c>
      <c r="F250" s="97">
        <v>0</v>
      </c>
      <c r="G250" s="91">
        <f t="shared" si="286"/>
        <v>0</v>
      </c>
      <c r="H250" s="74">
        <v>33571693.159999996</v>
      </c>
      <c r="I250" s="74">
        <v>14772461</v>
      </c>
      <c r="J250" s="74">
        <f t="shared" si="287"/>
        <v>18799232.159999996</v>
      </c>
      <c r="K250" s="13">
        <f t="shared" si="298"/>
        <v>8</v>
      </c>
      <c r="L250" s="32">
        <f t="shared" si="288"/>
        <v>7.952</v>
      </c>
      <c r="M250" s="74">
        <f t="shared" si="289"/>
        <v>2364088.5513078468</v>
      </c>
      <c r="N250" s="68">
        <f t="shared" si="290"/>
        <v>7.0419103976698177E-2</v>
      </c>
      <c r="O250" s="32">
        <v>8</v>
      </c>
      <c r="P250" s="13">
        <v>2349902</v>
      </c>
      <c r="Q250" s="119">
        <f t="shared" si="291"/>
        <v>14186.551307846792</v>
      </c>
      <c r="S250" s="13">
        <v>2425041</v>
      </c>
      <c r="T250" s="13">
        <f t="shared" si="292"/>
        <v>-60952.448692153208</v>
      </c>
      <c r="W250" s="124">
        <v>0.4200275</v>
      </c>
      <c r="Y250" s="79">
        <f t="shared" si="293"/>
        <v>992982.2039844566</v>
      </c>
      <c r="Z250" s="79">
        <f t="shared" si="294"/>
        <v>987023.46230500005</v>
      </c>
      <c r="AA250" s="79">
        <f t="shared" si="295"/>
        <v>5958.7416794566188</v>
      </c>
      <c r="AB250" s="79">
        <f t="shared" si="296"/>
        <v>1018583.9086274999</v>
      </c>
      <c r="AC250" s="79">
        <f t="shared" si="297"/>
        <v>-25601.70464304338</v>
      </c>
    </row>
    <row r="251" spans="1:29">
      <c r="A251" s="20">
        <v>333</v>
      </c>
      <c r="B251" s="16" t="s">
        <v>381</v>
      </c>
      <c r="C251" s="138">
        <v>43830</v>
      </c>
      <c r="D251" s="102">
        <v>4.4999999999999997E-3</v>
      </c>
      <c r="E251" s="152">
        <v>4.4999999999999997E-3</v>
      </c>
      <c r="F251" s="97">
        <v>-0.01</v>
      </c>
      <c r="G251" s="91">
        <f t="shared" si="286"/>
        <v>-177702.36870000002</v>
      </c>
      <c r="H251" s="74">
        <v>17770236.870000001</v>
      </c>
      <c r="I251" s="74">
        <v>6645137</v>
      </c>
      <c r="J251" s="74">
        <f t="shared" si="287"/>
        <v>11302802.238700002</v>
      </c>
      <c r="K251" s="13">
        <f t="shared" si="298"/>
        <v>8</v>
      </c>
      <c r="L251" s="32">
        <f t="shared" si="288"/>
        <v>7.8559999999999999</v>
      </c>
      <c r="M251" s="74">
        <f t="shared" si="289"/>
        <v>1438747.7391420573</v>
      </c>
      <c r="N251" s="68">
        <f t="shared" si="290"/>
        <v>8.0963903276437141E-2</v>
      </c>
      <c r="O251" s="32">
        <v>8</v>
      </c>
      <c r="P251" s="13">
        <v>1390639</v>
      </c>
      <c r="Q251" s="119">
        <f t="shared" si="291"/>
        <v>48108.739142057253</v>
      </c>
      <c r="S251" s="13">
        <v>1392722</v>
      </c>
      <c r="T251" s="13">
        <f t="shared" si="292"/>
        <v>46025.739142057253</v>
      </c>
      <c r="W251" s="124">
        <v>0.4200275</v>
      </c>
      <c r="Y251" s="79">
        <f t="shared" si="293"/>
        <v>604313.61600249039</v>
      </c>
      <c r="Z251" s="79">
        <f t="shared" si="294"/>
        <v>584106.62257250003</v>
      </c>
      <c r="AA251" s="79">
        <f t="shared" si="295"/>
        <v>20206.993429990453</v>
      </c>
      <c r="AB251" s="79">
        <f t="shared" si="296"/>
        <v>584981.53985499998</v>
      </c>
      <c r="AC251" s="79">
        <f t="shared" si="297"/>
        <v>19332.076147490454</v>
      </c>
    </row>
    <row r="252" spans="1:29">
      <c r="A252" s="20">
        <v>334</v>
      </c>
      <c r="B252" s="16" t="s">
        <v>13</v>
      </c>
      <c r="C252" s="138">
        <v>43830</v>
      </c>
      <c r="D252" s="102">
        <v>5.0000000000000001E-3</v>
      </c>
      <c r="E252" s="152">
        <v>4.0000000000000001E-3</v>
      </c>
      <c r="F252" s="97">
        <v>0</v>
      </c>
      <c r="G252" s="91">
        <f t="shared" si="286"/>
        <v>0</v>
      </c>
      <c r="H252" s="74">
        <v>15513216.33</v>
      </c>
      <c r="I252" s="74">
        <v>4197548</v>
      </c>
      <c r="J252" s="74">
        <f t="shared" si="287"/>
        <v>11315668.33</v>
      </c>
      <c r="K252" s="13">
        <f t="shared" si="298"/>
        <v>8</v>
      </c>
      <c r="L252" s="32">
        <f t="shared" si="288"/>
        <v>7.84</v>
      </c>
      <c r="M252" s="74">
        <f t="shared" si="289"/>
        <v>1443325.0420918367</v>
      </c>
      <c r="N252" s="68">
        <f t="shared" si="290"/>
        <v>9.3038413916828086E-2</v>
      </c>
      <c r="O252" s="32">
        <v>8</v>
      </c>
      <c r="P252" s="13">
        <v>1414462</v>
      </c>
      <c r="Q252" s="119">
        <f t="shared" si="291"/>
        <v>28863.042091836687</v>
      </c>
      <c r="S252" s="13">
        <v>1491231</v>
      </c>
      <c r="T252" s="13">
        <f t="shared" si="292"/>
        <v>-47905.957908163313</v>
      </c>
      <c r="W252" s="124">
        <v>0.4200275</v>
      </c>
      <c r="Y252" s="79">
        <f t="shared" si="293"/>
        <v>606236.20911722898</v>
      </c>
      <c r="Z252" s="79">
        <f t="shared" si="294"/>
        <v>594112.93770500005</v>
      </c>
      <c r="AA252" s="79">
        <f t="shared" si="295"/>
        <v>12123.271412228934</v>
      </c>
      <c r="AB252" s="79">
        <f t="shared" si="296"/>
        <v>626358.02885250002</v>
      </c>
      <c r="AC252" s="79">
        <f t="shared" si="297"/>
        <v>-20121.819735271067</v>
      </c>
    </row>
    <row r="253" spans="1:29">
      <c r="A253" s="20">
        <v>335</v>
      </c>
      <c r="B253" s="15" t="s">
        <v>378</v>
      </c>
      <c r="C253" s="138">
        <v>43830</v>
      </c>
      <c r="D253" s="102">
        <v>7.0000000000000001E-3</v>
      </c>
      <c r="E253" s="152">
        <v>6.0000000000000001E-3</v>
      </c>
      <c r="F253" s="97">
        <v>0</v>
      </c>
      <c r="G253" s="91">
        <f t="shared" si="286"/>
        <v>0</v>
      </c>
      <c r="H253" s="74">
        <v>169253.74</v>
      </c>
      <c r="I253" s="74">
        <v>84765</v>
      </c>
      <c r="J253" s="74">
        <f t="shared" si="287"/>
        <v>84488.739999999991</v>
      </c>
      <c r="K253" s="13">
        <f t="shared" si="298"/>
        <v>8</v>
      </c>
      <c r="L253" s="32">
        <f t="shared" si="288"/>
        <v>7.7759999999999998</v>
      </c>
      <c r="M253" s="74">
        <f t="shared" si="289"/>
        <v>10865.321502057612</v>
      </c>
      <c r="N253" s="68">
        <f t="shared" si="290"/>
        <v>6.4195458854011803E-2</v>
      </c>
      <c r="O253" s="32">
        <v>8</v>
      </c>
      <c r="P253" s="13">
        <v>10563</v>
      </c>
      <c r="Q253" s="119">
        <f t="shared" si="291"/>
        <v>302.32150205761172</v>
      </c>
      <c r="S253" s="13">
        <v>11137</v>
      </c>
      <c r="T253" s="13">
        <f t="shared" si="292"/>
        <v>-271.67849794238828</v>
      </c>
      <c r="W253" s="124">
        <v>0.4200275</v>
      </c>
      <c r="Y253" s="79">
        <f t="shared" si="293"/>
        <v>4563.7338272055031</v>
      </c>
      <c r="Z253" s="79">
        <f t="shared" si="294"/>
        <v>4436.7504824999996</v>
      </c>
      <c r="AA253" s="79">
        <f t="shared" si="295"/>
        <v>126.98334470550351</v>
      </c>
      <c r="AB253" s="79">
        <f t="shared" si="296"/>
        <v>4677.8462675000001</v>
      </c>
      <c r="AC253" s="79">
        <f t="shared" si="297"/>
        <v>-114.11244029449649</v>
      </c>
    </row>
    <row r="254" spans="1:29">
      <c r="A254" s="20">
        <v>336</v>
      </c>
      <c r="B254" s="16" t="s">
        <v>164</v>
      </c>
      <c r="C254" s="138">
        <v>43830</v>
      </c>
      <c r="D254" s="102">
        <v>2E-3</v>
      </c>
      <c r="E254" s="152">
        <v>0.01</v>
      </c>
      <c r="F254" s="97">
        <v>0</v>
      </c>
      <c r="G254" s="91">
        <f t="shared" si="286"/>
        <v>0</v>
      </c>
      <c r="H254" s="74">
        <v>2547856.13</v>
      </c>
      <c r="I254" s="74">
        <v>1023780</v>
      </c>
      <c r="J254" s="74">
        <f t="shared" si="287"/>
        <v>1524076.13</v>
      </c>
      <c r="K254" s="13">
        <f t="shared" si="298"/>
        <v>8</v>
      </c>
      <c r="L254" s="32">
        <f t="shared" si="288"/>
        <v>7.9359999999999999</v>
      </c>
      <c r="M254" s="74">
        <f t="shared" si="289"/>
        <v>192045.88331653224</v>
      </c>
      <c r="N254" s="88">
        <f t="shared" si="290"/>
        <v>7.5375481784574802E-2</v>
      </c>
      <c r="O254" s="32">
        <v>8</v>
      </c>
      <c r="P254" s="13">
        <v>190510</v>
      </c>
      <c r="Q254" s="119">
        <f t="shared" si="291"/>
        <v>1535.883316532243</v>
      </c>
      <c r="S254" s="13">
        <v>190487</v>
      </c>
      <c r="T254" s="13">
        <f t="shared" si="292"/>
        <v>1558.883316532243</v>
      </c>
      <c r="W254" s="124">
        <v>0.4200275</v>
      </c>
      <c r="Y254" s="79">
        <f t="shared" si="293"/>
        <v>80664.55225473475</v>
      </c>
      <c r="Z254" s="79">
        <f t="shared" si="294"/>
        <v>80019.439025</v>
      </c>
      <c r="AA254" s="79">
        <f t="shared" si="295"/>
        <v>645.11322973474671</v>
      </c>
      <c r="AB254" s="79">
        <f t="shared" si="296"/>
        <v>80009.778392499997</v>
      </c>
      <c r="AC254" s="79">
        <f t="shared" si="297"/>
        <v>654.77386223474673</v>
      </c>
    </row>
    <row r="255" spans="1:29">
      <c r="B255" s="33" t="s">
        <v>283</v>
      </c>
      <c r="C255" s="23"/>
      <c r="D255" s="102"/>
      <c r="E255" s="152"/>
      <c r="F255" s="96"/>
      <c r="G255" s="72"/>
      <c r="H255" s="75">
        <f>+SUBTOTAL(9,H247:H254)</f>
        <v>83239500.859999985</v>
      </c>
      <c r="I255" s="75">
        <f>+SUBTOTAL(9,I247:I254)</f>
        <v>31347980</v>
      </c>
      <c r="J255" s="75">
        <f>+SUBTOTAL(9,J247:J254)</f>
        <v>52069223.228700005</v>
      </c>
      <c r="K255" s="13"/>
      <c r="L255" s="13"/>
      <c r="M255" s="75">
        <f>+SUBTOTAL(9,M247:M254)</f>
        <v>6588539.4153341204</v>
      </c>
      <c r="N255" s="27">
        <f>+ROUND(M255/H255*100,2)</f>
        <v>7.92</v>
      </c>
      <c r="O255" s="31"/>
      <c r="P255" s="103">
        <f>+SUBTOTAL(9,P247:P254)</f>
        <v>6486444</v>
      </c>
      <c r="Q255" s="120">
        <f>+SUBTOTAL(9,Q247:Q254)</f>
        <v>102095.41533412102</v>
      </c>
      <c r="S255" s="103">
        <f>+SUBTOTAL(9,S247:S254)</f>
        <v>6651279</v>
      </c>
      <c r="T255" s="103">
        <f>+SUBTOTAL(9,T247:T254)</f>
        <v>-62739.584665878996</v>
      </c>
      <c r="Y255" s="75">
        <f t="shared" ref="Y255:AC255" si="299">+SUBTOTAL(9,Y247:Y254)</f>
        <v>2767367.7392742522</v>
      </c>
      <c r="Z255" s="75">
        <f t="shared" si="299"/>
        <v>2724484.8572100005</v>
      </c>
      <c r="AA255" s="75">
        <f t="shared" si="299"/>
        <v>42882.88206425251</v>
      </c>
      <c r="AB255" s="75">
        <f t="shared" si="299"/>
        <v>2793720.0901724999</v>
      </c>
      <c r="AC255" s="75">
        <f t="shared" si="299"/>
        <v>-26352.350898247485</v>
      </c>
    </row>
    <row r="256" spans="1:29">
      <c r="C256" s="43"/>
      <c r="E256" s="153"/>
      <c r="F256" s="96"/>
      <c r="G256" s="72"/>
      <c r="I256" s="73"/>
      <c r="J256" s="73"/>
      <c r="K256" s="19"/>
      <c r="L256" s="19"/>
      <c r="M256" s="73"/>
      <c r="N256" s="27"/>
      <c r="O256" s="31"/>
      <c r="P256" s="19"/>
      <c r="S256" s="19"/>
      <c r="T256" s="19"/>
    </row>
    <row r="257" spans="1:29">
      <c r="B257" s="55" t="s">
        <v>35</v>
      </c>
      <c r="C257" s="43"/>
      <c r="E257" s="153"/>
      <c r="F257" s="96"/>
      <c r="G257" s="72"/>
      <c r="I257" s="73"/>
      <c r="J257" s="73"/>
      <c r="K257" s="19"/>
      <c r="L257" s="19"/>
      <c r="M257" s="73"/>
      <c r="N257" s="27"/>
      <c r="O257" s="31"/>
      <c r="P257" s="19"/>
      <c r="S257" s="19"/>
      <c r="T257" s="19"/>
    </row>
    <row r="258" spans="1:29">
      <c r="A258" s="20">
        <v>331</v>
      </c>
      <c r="B258" s="15" t="s">
        <v>162</v>
      </c>
      <c r="C258" s="138">
        <v>46022</v>
      </c>
      <c r="D258" s="102">
        <v>2E-3</v>
      </c>
      <c r="E258" s="152">
        <v>2E-3</v>
      </c>
      <c r="F258" s="97">
        <v>-0.01</v>
      </c>
      <c r="G258" s="91">
        <f t="shared" ref="G258:G262" si="300">H258*F258</f>
        <v>-4483.9400999999998</v>
      </c>
      <c r="H258" s="74">
        <v>448394.01</v>
      </c>
      <c r="I258" s="74">
        <v>244819</v>
      </c>
      <c r="J258" s="74">
        <f t="shared" ref="J258:J262" si="301">H258-G258-I258</f>
        <v>208058.95010000002</v>
      </c>
      <c r="K258" s="13">
        <f>2025-2011</f>
        <v>14</v>
      </c>
      <c r="L258" s="32">
        <f>(1-(D258/2)*K258)*K258</f>
        <v>13.804</v>
      </c>
      <c r="M258" s="74">
        <f>J258/L258</f>
        <v>15072.366712547089</v>
      </c>
      <c r="N258" s="68">
        <f>M258/H258</f>
        <v>3.3614112535863466E-2</v>
      </c>
      <c r="O258" s="32">
        <v>13.8</v>
      </c>
      <c r="P258" s="13">
        <v>15110</v>
      </c>
      <c r="Q258" s="119">
        <f t="shared" ref="Q258:Q262" si="302">M258-P258</f>
        <v>-37.633287452910736</v>
      </c>
      <c r="S258" s="13">
        <v>15406</v>
      </c>
      <c r="T258" s="13">
        <f t="shared" ref="T258:T262" si="303">M258-S258</f>
        <v>-333.63328745291074</v>
      </c>
      <c r="W258" s="124">
        <v>0.4200275</v>
      </c>
      <c r="Y258" s="79">
        <f t="shared" ref="Y258:Y262" si="304">M258*W258</f>
        <v>6330.8085093543723</v>
      </c>
      <c r="Z258" s="79">
        <f t="shared" ref="Z258:Z262" si="305">P258*W258</f>
        <v>6346.6155250000002</v>
      </c>
      <c r="AA258" s="79">
        <f t="shared" ref="AA258:AA262" si="306">Q258*W258</f>
        <v>-15.807015645627464</v>
      </c>
      <c r="AB258" s="79">
        <f t="shared" ref="AB258:AB262" si="307">S258*W258</f>
        <v>6470.9436649999998</v>
      </c>
      <c r="AC258" s="79">
        <f t="shared" ref="AC258:AC262" si="308">T258*W258</f>
        <v>-140.13515564562746</v>
      </c>
    </row>
    <row r="259" spans="1:29">
      <c r="A259" s="20">
        <v>332</v>
      </c>
      <c r="B259" s="16" t="s">
        <v>163</v>
      </c>
      <c r="C259" s="138">
        <v>46022</v>
      </c>
      <c r="D259" s="102">
        <v>1.5E-3</v>
      </c>
      <c r="E259" s="152">
        <v>1.5E-3</v>
      </c>
      <c r="F259" s="97">
        <v>0</v>
      </c>
      <c r="G259" s="91">
        <f t="shared" si="300"/>
        <v>0</v>
      </c>
      <c r="H259" s="74">
        <v>959002.13</v>
      </c>
      <c r="I259" s="74">
        <v>454436</v>
      </c>
      <c r="J259" s="74">
        <f t="shared" si="301"/>
        <v>504566.13</v>
      </c>
      <c r="K259" s="13">
        <f t="shared" ref="K259:K262" si="309">2025-2011</f>
        <v>14</v>
      </c>
      <c r="L259" s="32">
        <f>(1-(D259/2)*K259)*K259</f>
        <v>13.853000000000002</v>
      </c>
      <c r="M259" s="74">
        <f>J259/L259</f>
        <v>36422.878076950838</v>
      </c>
      <c r="N259" s="68">
        <f>M259/H259</f>
        <v>3.7979976203964046E-2</v>
      </c>
      <c r="O259" s="32">
        <v>13.9</v>
      </c>
      <c r="P259" s="13">
        <v>37110</v>
      </c>
      <c r="Q259" s="119">
        <f t="shared" si="302"/>
        <v>-687.12192304916243</v>
      </c>
      <c r="S259" s="13">
        <v>38512</v>
      </c>
      <c r="T259" s="13">
        <f t="shared" si="303"/>
        <v>-2089.1219230491624</v>
      </c>
      <c r="W259" s="124">
        <v>0.4200275</v>
      </c>
      <c r="Y259" s="79">
        <f t="shared" si="304"/>
        <v>15298.610421466468</v>
      </c>
      <c r="Z259" s="79">
        <f t="shared" si="305"/>
        <v>15587.220525000001</v>
      </c>
      <c r="AA259" s="79">
        <f t="shared" si="306"/>
        <v>-288.61010353353208</v>
      </c>
      <c r="AB259" s="79">
        <f t="shared" si="307"/>
        <v>16176.09908</v>
      </c>
      <c r="AC259" s="79">
        <f t="shared" si="308"/>
        <v>-877.48865853353209</v>
      </c>
    </row>
    <row r="260" spans="1:29">
      <c r="A260" s="20">
        <v>333</v>
      </c>
      <c r="B260" s="16" t="s">
        <v>381</v>
      </c>
      <c r="C260" s="138">
        <v>46022</v>
      </c>
      <c r="D260" s="102">
        <v>4.4999999999999997E-3</v>
      </c>
      <c r="E260" s="152">
        <v>4.4999999999999997E-3</v>
      </c>
      <c r="F260" s="97">
        <v>-0.01</v>
      </c>
      <c r="G260" s="91">
        <f t="shared" si="300"/>
        <v>-10680.196699999999</v>
      </c>
      <c r="H260" s="74">
        <v>1068019.67</v>
      </c>
      <c r="I260" s="74">
        <v>612312</v>
      </c>
      <c r="J260" s="74">
        <f t="shared" si="301"/>
        <v>466387.8666999999</v>
      </c>
      <c r="K260" s="13">
        <f t="shared" si="309"/>
        <v>14</v>
      </c>
      <c r="L260" s="32">
        <f>(1-(D260/2)*K260)*K260</f>
        <v>13.559000000000001</v>
      </c>
      <c r="M260" s="74">
        <f>J260/L260</f>
        <v>34396.922096024769</v>
      </c>
      <c r="N260" s="68">
        <f>M260/H260</f>
        <v>3.220626273299327E-2</v>
      </c>
      <c r="O260" s="32">
        <v>13.6</v>
      </c>
      <c r="P260" s="13">
        <v>35902</v>
      </c>
      <c r="Q260" s="119">
        <f t="shared" si="302"/>
        <v>-1505.0779039752306</v>
      </c>
      <c r="S260" s="13">
        <v>35563</v>
      </c>
      <c r="T260" s="13">
        <f t="shared" si="303"/>
        <v>-1166.0779039752306</v>
      </c>
      <c r="W260" s="124">
        <v>0.4200275</v>
      </c>
      <c r="Y260" s="79">
        <f t="shared" si="304"/>
        <v>14447.653195688044</v>
      </c>
      <c r="Z260" s="79">
        <f t="shared" si="305"/>
        <v>15079.827305000001</v>
      </c>
      <c r="AA260" s="79">
        <f t="shared" si="306"/>
        <v>-632.17410931195616</v>
      </c>
      <c r="AB260" s="79">
        <f t="shared" si="307"/>
        <v>14937.4379825</v>
      </c>
      <c r="AC260" s="79">
        <f t="shared" si="308"/>
        <v>-489.78478681195617</v>
      </c>
    </row>
    <row r="261" spans="1:29">
      <c r="A261" s="20">
        <v>334</v>
      </c>
      <c r="B261" s="16" t="s">
        <v>13</v>
      </c>
      <c r="C261" s="138">
        <v>46022</v>
      </c>
      <c r="D261" s="102">
        <v>5.0000000000000001E-3</v>
      </c>
      <c r="E261" s="152">
        <v>4.0000000000000001E-3</v>
      </c>
      <c r="F261" s="97">
        <v>-0.01</v>
      </c>
      <c r="G261" s="91">
        <f t="shared" si="300"/>
        <v>-2618.3329000000003</v>
      </c>
      <c r="H261" s="74">
        <v>261833.29</v>
      </c>
      <c r="I261" s="74">
        <v>99338</v>
      </c>
      <c r="J261" s="74">
        <f t="shared" si="301"/>
        <v>165113.62290000002</v>
      </c>
      <c r="K261" s="13">
        <f t="shared" si="309"/>
        <v>14</v>
      </c>
      <c r="L261" s="32">
        <f>(1-(D261/2)*K261)*K261</f>
        <v>13.51</v>
      </c>
      <c r="M261" s="74">
        <f>J261/L261</f>
        <v>12221.58570688379</v>
      </c>
      <c r="N261" s="68">
        <f>M261/H261</f>
        <v>4.6676974142148962E-2</v>
      </c>
      <c r="O261" s="32">
        <v>13.2</v>
      </c>
      <c r="P261" s="13">
        <v>12670</v>
      </c>
      <c r="Q261" s="119">
        <f t="shared" si="302"/>
        <v>-448.41429311620959</v>
      </c>
      <c r="S261" s="13">
        <v>12972</v>
      </c>
      <c r="T261" s="13">
        <f t="shared" si="303"/>
        <v>-750.41429311620959</v>
      </c>
      <c r="W261" s="124">
        <v>0.4200275</v>
      </c>
      <c r="Y261" s="79">
        <f t="shared" si="304"/>
        <v>5133.4020904981317</v>
      </c>
      <c r="Z261" s="79">
        <f t="shared" si="305"/>
        <v>5321.7484249999998</v>
      </c>
      <c r="AA261" s="79">
        <f t="shared" si="306"/>
        <v>-188.34633450186871</v>
      </c>
      <c r="AB261" s="79">
        <f t="shared" si="307"/>
        <v>5448.5967300000002</v>
      </c>
      <c r="AC261" s="79">
        <f t="shared" si="308"/>
        <v>-315.19463950186872</v>
      </c>
    </row>
    <row r="262" spans="1:29">
      <c r="A262" s="20">
        <v>336</v>
      </c>
      <c r="B262" s="16" t="s">
        <v>164</v>
      </c>
      <c r="C262" s="138">
        <v>46022</v>
      </c>
      <c r="D262" s="102">
        <v>2E-3</v>
      </c>
      <c r="E262" s="152">
        <v>0.01</v>
      </c>
      <c r="F262" s="97">
        <v>-0.01</v>
      </c>
      <c r="G262" s="91">
        <f t="shared" si="300"/>
        <v>-652.86710000000005</v>
      </c>
      <c r="H262" s="74">
        <v>65286.71</v>
      </c>
      <c r="I262" s="74">
        <v>38833</v>
      </c>
      <c r="J262" s="74">
        <f t="shared" si="301"/>
        <v>27106.577099999995</v>
      </c>
      <c r="K262" s="13">
        <f t="shared" si="309"/>
        <v>14</v>
      </c>
      <c r="L262" s="32">
        <f>(1-(D262/2)*K262)*K262</f>
        <v>13.804</v>
      </c>
      <c r="M262" s="74">
        <f>J262/L262</f>
        <v>1963.6755360764992</v>
      </c>
      <c r="N262" s="88">
        <f>M262/H262</f>
        <v>3.0077722343130772E-2</v>
      </c>
      <c r="O262" s="32">
        <v>13.8</v>
      </c>
      <c r="P262" s="13">
        <v>1971</v>
      </c>
      <c r="Q262" s="119">
        <f t="shared" si="302"/>
        <v>-7.3244639235008435</v>
      </c>
      <c r="S262" s="13">
        <v>1995</v>
      </c>
      <c r="T262" s="13">
        <f t="shared" si="303"/>
        <v>-31.324463923500844</v>
      </c>
      <c r="W262" s="124">
        <v>0.4200275</v>
      </c>
      <c r="Y262" s="79">
        <f t="shared" si="304"/>
        <v>824.79772622937173</v>
      </c>
      <c r="Z262" s="79">
        <f t="shared" si="305"/>
        <v>827.87420250000002</v>
      </c>
      <c r="AA262" s="79">
        <f t="shared" si="306"/>
        <v>-3.0764762706282505</v>
      </c>
      <c r="AB262" s="79">
        <f t="shared" si="307"/>
        <v>837.95486249999999</v>
      </c>
      <c r="AC262" s="79">
        <f t="shared" si="308"/>
        <v>-13.15713627062825</v>
      </c>
    </row>
    <row r="263" spans="1:29">
      <c r="B263" s="33" t="s">
        <v>36</v>
      </c>
      <c r="C263" s="23"/>
      <c r="D263" s="102"/>
      <c r="E263" s="152"/>
      <c r="F263" s="96"/>
      <c r="G263" s="72"/>
      <c r="H263" s="75">
        <f>+SUBTOTAL(9,H256:H262)</f>
        <v>2802535.81</v>
      </c>
      <c r="I263" s="75">
        <f>+SUBTOTAL(9,I256:I262)</f>
        <v>1449738</v>
      </c>
      <c r="J263" s="75">
        <f>+SUBTOTAL(9,J256:J262)</f>
        <v>1371233.1468000002</v>
      </c>
      <c r="K263" s="13"/>
      <c r="L263" s="13"/>
      <c r="M263" s="75">
        <f>+SUBTOTAL(9,M256:M262)</f>
        <v>100077.42812848298</v>
      </c>
      <c r="N263" s="27">
        <f>+ROUND(M263/H263*100,2)</f>
        <v>3.57</v>
      </c>
      <c r="O263" s="31"/>
      <c r="P263" s="103">
        <f>+SUBTOTAL(9,P256:P262)</f>
        <v>102763</v>
      </c>
      <c r="Q263" s="120">
        <f>+SUBTOTAL(9,Q256:Q262)</f>
        <v>-2685.5718715170142</v>
      </c>
      <c r="S263" s="103">
        <f>+SUBTOTAL(9,S256:S262)</f>
        <v>104448</v>
      </c>
      <c r="T263" s="103">
        <f>+SUBTOTAL(9,T256:T262)</f>
        <v>-4370.5718715170142</v>
      </c>
      <c r="Y263" s="75">
        <f t="shared" ref="Y263:AC263" si="310">+SUBTOTAL(9,Y256:Y262)</f>
        <v>42035.271943236388</v>
      </c>
      <c r="Z263" s="75">
        <f t="shared" si="310"/>
        <v>43163.285982500005</v>
      </c>
      <c r="AA263" s="75">
        <f t="shared" si="310"/>
        <v>-1128.0140392636129</v>
      </c>
      <c r="AB263" s="75">
        <f t="shared" si="310"/>
        <v>43871.032319999998</v>
      </c>
      <c r="AC263" s="75">
        <f t="shared" si="310"/>
        <v>-1835.7603767636126</v>
      </c>
    </row>
    <row r="264" spans="1:29">
      <c r="B264" s="17"/>
      <c r="C264" s="43"/>
      <c r="E264" s="153"/>
      <c r="F264" s="96"/>
      <c r="G264" s="72"/>
      <c r="I264" s="73"/>
      <c r="J264" s="73"/>
      <c r="K264" s="19"/>
      <c r="L264" s="19"/>
      <c r="M264" s="73"/>
      <c r="N264" s="27"/>
      <c r="O264" s="31"/>
      <c r="P264" s="19"/>
      <c r="S264" s="19"/>
      <c r="T264" s="19"/>
    </row>
    <row r="265" spans="1:29">
      <c r="B265" s="55" t="s">
        <v>37</v>
      </c>
      <c r="C265" s="43"/>
      <c r="E265" s="153"/>
      <c r="F265" s="96"/>
      <c r="G265" s="72"/>
      <c r="I265" s="73"/>
      <c r="J265" s="73"/>
      <c r="K265" s="19"/>
      <c r="L265" s="19"/>
      <c r="M265" s="73"/>
      <c r="N265" s="27"/>
      <c r="O265" s="31"/>
      <c r="P265" s="19"/>
      <c r="S265" s="19"/>
      <c r="T265" s="19"/>
    </row>
    <row r="266" spans="1:29">
      <c r="A266" s="20">
        <v>330.2</v>
      </c>
      <c r="B266" s="16" t="s">
        <v>10</v>
      </c>
      <c r="C266" s="138">
        <v>48944</v>
      </c>
      <c r="D266" s="102"/>
      <c r="E266" s="152"/>
      <c r="F266" s="97">
        <v>0</v>
      </c>
      <c r="G266" s="91">
        <f t="shared" ref="G266:G273" si="311">H266*F266</f>
        <v>0</v>
      </c>
      <c r="H266" s="74">
        <v>20758.93</v>
      </c>
      <c r="I266" s="74">
        <v>12173</v>
      </c>
      <c r="J266" s="74">
        <f t="shared" ref="J266:J273" si="312">H266-G266-I266</f>
        <v>8585.93</v>
      </c>
      <c r="K266" s="13">
        <f>2033-2011</f>
        <v>22</v>
      </c>
      <c r="L266" s="32">
        <f t="shared" ref="L266:L273" si="313">(1-(D266/2)*K266)*K266</f>
        <v>22</v>
      </c>
      <c r="M266" s="74">
        <f t="shared" ref="M266:M273" si="314">J266/L266</f>
        <v>390.26954545454549</v>
      </c>
      <c r="N266" s="68">
        <f t="shared" ref="N266:N273" si="315">M266/H266</f>
        <v>1.8800080035654317E-2</v>
      </c>
      <c r="O266" s="32">
        <v>22</v>
      </c>
      <c r="P266" s="13">
        <v>390</v>
      </c>
      <c r="Q266" s="119">
        <f t="shared" ref="Q266:Q273" si="316">M266-P266</f>
        <v>0.26954545454549361</v>
      </c>
      <c r="S266" s="13">
        <v>389</v>
      </c>
      <c r="T266" s="13">
        <f t="shared" ref="T266:T273" si="317">M266-S266</f>
        <v>1.2695454545454936</v>
      </c>
      <c r="W266" s="124">
        <v>0.4200275</v>
      </c>
      <c r="Y266" s="79">
        <f t="shared" ref="Y266:Y273" si="318">M266*W266</f>
        <v>163.92394150340911</v>
      </c>
      <c r="Z266" s="79">
        <f t="shared" ref="Z266:Z273" si="319">P266*W266</f>
        <v>163.81072499999999</v>
      </c>
      <c r="AA266" s="79">
        <f t="shared" ref="AA266:AA273" si="320">Q266*W266</f>
        <v>0.11321650340910731</v>
      </c>
      <c r="AB266" s="79">
        <f t="shared" ref="AB266:AB273" si="321">S266*W266</f>
        <v>163.39069749999999</v>
      </c>
      <c r="AC266" s="79">
        <f t="shared" ref="AC266:AC273" si="322">T266*W266</f>
        <v>0.53324400340910727</v>
      </c>
    </row>
    <row r="267" spans="1:29">
      <c r="A267" s="20">
        <v>330.3</v>
      </c>
      <c r="B267" s="16" t="s">
        <v>27</v>
      </c>
      <c r="C267" s="138">
        <v>48944</v>
      </c>
      <c r="D267" s="102"/>
      <c r="E267" s="152"/>
      <c r="F267" s="97">
        <v>0</v>
      </c>
      <c r="G267" s="91">
        <f t="shared" si="311"/>
        <v>0</v>
      </c>
      <c r="H267" s="74">
        <v>24129.94</v>
      </c>
      <c r="I267" s="74">
        <v>13866</v>
      </c>
      <c r="J267" s="74">
        <f t="shared" si="312"/>
        <v>10263.939999999999</v>
      </c>
      <c r="K267" s="13">
        <f t="shared" ref="K267:K273" si="323">2033-2011</f>
        <v>22</v>
      </c>
      <c r="L267" s="32">
        <f t="shared" si="313"/>
        <v>22</v>
      </c>
      <c r="M267" s="74">
        <f t="shared" si="314"/>
        <v>466.54272727272723</v>
      </c>
      <c r="N267" s="68">
        <f t="shared" si="315"/>
        <v>1.9334599558586855E-2</v>
      </c>
      <c r="O267" s="32">
        <v>22</v>
      </c>
      <c r="P267" s="13">
        <v>466</v>
      </c>
      <c r="Q267" s="119">
        <f t="shared" si="316"/>
        <v>0.54272727272723387</v>
      </c>
      <c r="S267" s="13">
        <v>466</v>
      </c>
      <c r="T267" s="13">
        <f t="shared" si="317"/>
        <v>0.54272727272723387</v>
      </c>
      <c r="W267" s="124">
        <v>0.4200275</v>
      </c>
      <c r="Y267" s="79">
        <f t="shared" si="318"/>
        <v>195.96077537954542</v>
      </c>
      <c r="Z267" s="79">
        <f t="shared" si="319"/>
        <v>195.73281499999999</v>
      </c>
      <c r="AA267" s="79">
        <f t="shared" si="320"/>
        <v>0.22796037954543821</v>
      </c>
      <c r="AB267" s="79">
        <f t="shared" si="321"/>
        <v>195.73281499999999</v>
      </c>
      <c r="AC267" s="79">
        <f t="shared" si="322"/>
        <v>0.22796037954543821</v>
      </c>
    </row>
    <row r="268" spans="1:29">
      <c r="A268" s="20">
        <v>331</v>
      </c>
      <c r="B268" s="15" t="s">
        <v>162</v>
      </c>
      <c r="C268" s="138">
        <v>48944</v>
      </c>
      <c r="D268" s="102">
        <v>2E-3</v>
      </c>
      <c r="E268" s="152">
        <v>2E-3</v>
      </c>
      <c r="F268" s="97">
        <v>-0.01</v>
      </c>
      <c r="G268" s="91">
        <f t="shared" si="311"/>
        <v>-12020.303500000002</v>
      </c>
      <c r="H268" s="74">
        <v>1202030.3500000001</v>
      </c>
      <c r="I268" s="74">
        <v>560157</v>
      </c>
      <c r="J268" s="74">
        <f t="shared" si="312"/>
        <v>653893.65350000001</v>
      </c>
      <c r="K268" s="13">
        <f t="shared" si="323"/>
        <v>22</v>
      </c>
      <c r="L268" s="32">
        <f t="shared" si="313"/>
        <v>21.515999999999998</v>
      </c>
      <c r="M268" s="74">
        <f t="shared" si="314"/>
        <v>30391.04171314371</v>
      </c>
      <c r="N268" s="68">
        <f t="shared" si="315"/>
        <v>2.5283090159199148E-2</v>
      </c>
      <c r="O268" s="32">
        <v>20.9</v>
      </c>
      <c r="P268" s="13">
        <v>32937</v>
      </c>
      <c r="Q268" s="119">
        <f t="shared" si="316"/>
        <v>-2545.9582868562902</v>
      </c>
      <c r="S268" s="13">
        <v>33297</v>
      </c>
      <c r="T268" s="13">
        <f t="shared" si="317"/>
        <v>-2905.9582868562902</v>
      </c>
      <c r="W268" s="124">
        <v>0.4200275</v>
      </c>
      <c r="Y268" s="79">
        <f t="shared" si="318"/>
        <v>12765.073273167469</v>
      </c>
      <c r="Z268" s="79">
        <f t="shared" si="319"/>
        <v>13834.445767499999</v>
      </c>
      <c r="AA268" s="79">
        <f t="shared" si="320"/>
        <v>-1069.3724943325303</v>
      </c>
      <c r="AB268" s="79">
        <f t="shared" si="321"/>
        <v>13985.655667499999</v>
      </c>
      <c r="AC268" s="79">
        <f t="shared" si="322"/>
        <v>-1220.5823943325304</v>
      </c>
    </row>
    <row r="269" spans="1:29">
      <c r="A269" s="20">
        <v>332</v>
      </c>
      <c r="B269" s="16" t="s">
        <v>163</v>
      </c>
      <c r="C269" s="138">
        <v>48944</v>
      </c>
      <c r="D269" s="102">
        <v>1.5E-3</v>
      </c>
      <c r="E269" s="152">
        <v>1.5E-3</v>
      </c>
      <c r="F269" s="97">
        <v>-0.01</v>
      </c>
      <c r="G269" s="91">
        <f t="shared" si="311"/>
        <v>-82719.082300000009</v>
      </c>
      <c r="H269" s="74">
        <v>8271908.2300000004</v>
      </c>
      <c r="I269" s="74">
        <v>3014592</v>
      </c>
      <c r="J269" s="74">
        <f t="shared" si="312"/>
        <v>5340035.3123000003</v>
      </c>
      <c r="K269" s="13">
        <f t="shared" si="323"/>
        <v>22</v>
      </c>
      <c r="L269" s="32">
        <f t="shared" si="313"/>
        <v>21.637</v>
      </c>
      <c r="M269" s="74">
        <f t="shared" si="314"/>
        <v>246801.09591440589</v>
      </c>
      <c r="N269" s="68">
        <f t="shared" si="315"/>
        <v>2.9836053429524795E-2</v>
      </c>
      <c r="O269" s="32">
        <v>21.4</v>
      </c>
      <c r="P269" s="13">
        <v>257784</v>
      </c>
      <c r="Q269" s="119">
        <f t="shared" si="316"/>
        <v>-10982.904085594113</v>
      </c>
      <c r="S269" s="13">
        <v>260898</v>
      </c>
      <c r="T269" s="13">
        <f t="shared" si="317"/>
        <v>-14096.904085594113</v>
      </c>
      <c r="W269" s="124">
        <v>0.4200275</v>
      </c>
      <c r="Y269" s="79">
        <f t="shared" si="318"/>
        <v>103663.24731418812</v>
      </c>
      <c r="Z269" s="79">
        <f t="shared" si="319"/>
        <v>108276.36906</v>
      </c>
      <c r="AA269" s="79">
        <f t="shared" si="320"/>
        <v>-4613.1217458118808</v>
      </c>
      <c r="AB269" s="79">
        <f t="shared" si="321"/>
        <v>109584.334695</v>
      </c>
      <c r="AC269" s="79">
        <f t="shared" si="322"/>
        <v>-5921.0873808118813</v>
      </c>
    </row>
    <row r="270" spans="1:29">
      <c r="A270" s="20">
        <v>333</v>
      </c>
      <c r="B270" s="16" t="s">
        <v>381</v>
      </c>
      <c r="C270" s="138">
        <v>48944</v>
      </c>
      <c r="D270" s="102">
        <v>4.4999999999999997E-3</v>
      </c>
      <c r="E270" s="152">
        <v>4.4999999999999997E-3</v>
      </c>
      <c r="F270" s="97">
        <v>-0.02</v>
      </c>
      <c r="G270" s="91">
        <f t="shared" si="311"/>
        <v>-155225.35460000002</v>
      </c>
      <c r="H270" s="74">
        <v>7761267.7300000004</v>
      </c>
      <c r="I270" s="74">
        <v>1072252</v>
      </c>
      <c r="J270" s="74">
        <f t="shared" si="312"/>
        <v>6844241.0846000006</v>
      </c>
      <c r="K270" s="13">
        <f t="shared" si="323"/>
        <v>22</v>
      </c>
      <c r="L270" s="32">
        <f t="shared" si="313"/>
        <v>20.911000000000001</v>
      </c>
      <c r="M270" s="74">
        <f t="shared" si="314"/>
        <v>327303.38504136581</v>
      </c>
      <c r="N270" s="68">
        <f t="shared" si="315"/>
        <v>4.2171381844775736E-2</v>
      </c>
      <c r="O270" s="32">
        <v>21.6</v>
      </c>
      <c r="P270" s="13">
        <v>316348</v>
      </c>
      <c r="Q270" s="119">
        <f t="shared" si="316"/>
        <v>10955.385041365807</v>
      </c>
      <c r="S270" s="13">
        <v>320003</v>
      </c>
      <c r="T270" s="13">
        <f t="shared" si="317"/>
        <v>7300.3850413658074</v>
      </c>
      <c r="W270" s="124">
        <v>0.4200275</v>
      </c>
      <c r="Y270" s="79">
        <f t="shared" si="318"/>
        <v>137476.42256046226</v>
      </c>
      <c r="Z270" s="79">
        <f t="shared" si="319"/>
        <v>132874.85957</v>
      </c>
      <c r="AA270" s="79">
        <f t="shared" si="320"/>
        <v>4601.5629904622765</v>
      </c>
      <c r="AB270" s="79">
        <f t="shared" si="321"/>
        <v>134410.06008249999</v>
      </c>
      <c r="AC270" s="79">
        <f t="shared" si="322"/>
        <v>3066.3624779622764</v>
      </c>
    </row>
    <row r="271" spans="1:29">
      <c r="A271" s="20">
        <v>334</v>
      </c>
      <c r="B271" s="16" t="s">
        <v>13</v>
      </c>
      <c r="C271" s="138">
        <v>48944</v>
      </c>
      <c r="D271" s="102">
        <v>5.0000000000000001E-3</v>
      </c>
      <c r="E271" s="152">
        <v>4.0000000000000001E-3</v>
      </c>
      <c r="F271" s="97">
        <v>-0.01</v>
      </c>
      <c r="G271" s="91">
        <f t="shared" si="311"/>
        <v>-2883.1567</v>
      </c>
      <c r="H271" s="74">
        <v>288315.67</v>
      </c>
      <c r="I271" s="74">
        <v>102806</v>
      </c>
      <c r="J271" s="74">
        <f t="shared" si="312"/>
        <v>188392.82669999998</v>
      </c>
      <c r="K271" s="13">
        <f t="shared" si="323"/>
        <v>22</v>
      </c>
      <c r="L271" s="32">
        <f t="shared" si="313"/>
        <v>20.79</v>
      </c>
      <c r="M271" s="74">
        <f t="shared" si="314"/>
        <v>9061.7040259740261</v>
      </c>
      <c r="N271" s="68">
        <f t="shared" si="315"/>
        <v>3.1429800627811963E-2</v>
      </c>
      <c r="O271" s="32">
        <v>19.600000000000001</v>
      </c>
      <c r="P271" s="13">
        <v>10043</v>
      </c>
      <c r="Q271" s="119">
        <f t="shared" si="316"/>
        <v>-981.29597402597392</v>
      </c>
      <c r="S271" s="13">
        <v>9984</v>
      </c>
      <c r="T271" s="13">
        <f t="shared" si="317"/>
        <v>-922.29597402597392</v>
      </c>
      <c r="W271" s="124">
        <v>0.4200275</v>
      </c>
      <c r="Y271" s="79">
        <f t="shared" si="318"/>
        <v>3806.1648877698053</v>
      </c>
      <c r="Z271" s="79">
        <f t="shared" si="319"/>
        <v>4218.3361825000002</v>
      </c>
      <c r="AA271" s="79">
        <f t="shared" si="320"/>
        <v>-412.17129473019475</v>
      </c>
      <c r="AB271" s="79">
        <f t="shared" si="321"/>
        <v>4193.5545599999996</v>
      </c>
      <c r="AC271" s="79">
        <f t="shared" si="322"/>
        <v>-387.38967223019478</v>
      </c>
    </row>
    <row r="272" spans="1:29">
      <c r="A272" s="20">
        <v>335</v>
      </c>
      <c r="B272" s="15" t="s">
        <v>378</v>
      </c>
      <c r="C272" s="138">
        <v>48944</v>
      </c>
      <c r="D272" s="102">
        <v>7.0000000000000001E-3</v>
      </c>
      <c r="E272" s="152">
        <v>6.0000000000000001E-3</v>
      </c>
      <c r="F272" s="97">
        <v>-0.01</v>
      </c>
      <c r="G272" s="91">
        <f t="shared" si="311"/>
        <v>-29.100900000000003</v>
      </c>
      <c r="H272" s="74">
        <v>2910.09</v>
      </c>
      <c r="I272" s="74">
        <v>1267</v>
      </c>
      <c r="J272" s="74">
        <f t="shared" si="312"/>
        <v>1672.1909000000001</v>
      </c>
      <c r="K272" s="13">
        <f t="shared" si="323"/>
        <v>22</v>
      </c>
      <c r="L272" s="32">
        <f t="shared" si="313"/>
        <v>20.306000000000001</v>
      </c>
      <c r="M272" s="74">
        <f t="shared" si="314"/>
        <v>82.349596178469412</v>
      </c>
      <c r="N272" s="68">
        <f t="shared" si="315"/>
        <v>2.8297955107391665E-2</v>
      </c>
      <c r="O272" s="32">
        <v>20.2</v>
      </c>
      <c r="P272" s="13">
        <v>84</v>
      </c>
      <c r="Q272" s="119">
        <f t="shared" si="316"/>
        <v>-1.6504038215305883</v>
      </c>
      <c r="S272" s="13">
        <v>85</v>
      </c>
      <c r="T272" s="13">
        <f t="shared" si="317"/>
        <v>-2.6504038215305883</v>
      </c>
      <c r="W272" s="124">
        <v>0.4200275</v>
      </c>
      <c r="Y272" s="79">
        <f t="shared" si="318"/>
        <v>34.589095008852063</v>
      </c>
      <c r="Z272" s="79">
        <f t="shared" si="319"/>
        <v>35.282310000000003</v>
      </c>
      <c r="AA272" s="79">
        <f t="shared" si="320"/>
        <v>-0.69321499114793916</v>
      </c>
      <c r="AB272" s="79">
        <f t="shared" si="321"/>
        <v>35.702337499999999</v>
      </c>
      <c r="AC272" s="79">
        <f t="shared" si="322"/>
        <v>-1.1132424911479393</v>
      </c>
    </row>
    <row r="273" spans="1:29">
      <c r="A273" s="20">
        <v>336</v>
      </c>
      <c r="B273" s="16" t="s">
        <v>164</v>
      </c>
      <c r="C273" s="138">
        <v>48944</v>
      </c>
      <c r="D273" s="102">
        <v>2E-3</v>
      </c>
      <c r="E273" s="152">
        <v>0.01</v>
      </c>
      <c r="F273" s="97">
        <v>-0.01</v>
      </c>
      <c r="G273" s="91">
        <f t="shared" si="311"/>
        <v>-1869.5726000000002</v>
      </c>
      <c r="H273" s="74">
        <v>186957.26</v>
      </c>
      <c r="I273" s="74">
        <v>38479</v>
      </c>
      <c r="J273" s="74">
        <f t="shared" si="312"/>
        <v>150347.83260000002</v>
      </c>
      <c r="K273" s="13">
        <f t="shared" si="323"/>
        <v>22</v>
      </c>
      <c r="L273" s="32">
        <f t="shared" si="313"/>
        <v>21.515999999999998</v>
      </c>
      <c r="M273" s="74">
        <f t="shared" si="314"/>
        <v>6987.7222810931416</v>
      </c>
      <c r="N273" s="88">
        <f t="shared" si="315"/>
        <v>3.7376041353479085E-2</v>
      </c>
      <c r="O273" s="32">
        <v>21.5</v>
      </c>
      <c r="P273" s="13">
        <v>7074</v>
      </c>
      <c r="Q273" s="119">
        <f t="shared" si="316"/>
        <v>-86.277718906858354</v>
      </c>
      <c r="S273" s="13">
        <v>7129</v>
      </c>
      <c r="T273" s="13">
        <f t="shared" si="317"/>
        <v>-141.27771890685835</v>
      </c>
      <c r="W273" s="124">
        <v>0.4200275</v>
      </c>
      <c r="Y273" s="79">
        <f t="shared" si="318"/>
        <v>2935.0355204218495</v>
      </c>
      <c r="Z273" s="79">
        <f t="shared" si="319"/>
        <v>2971.274535</v>
      </c>
      <c r="AA273" s="79">
        <f t="shared" si="320"/>
        <v>-36.239014578150446</v>
      </c>
      <c r="AB273" s="79">
        <f t="shared" si="321"/>
        <v>2994.3760474999999</v>
      </c>
      <c r="AC273" s="79">
        <f t="shared" si="322"/>
        <v>-59.340527078150444</v>
      </c>
    </row>
    <row r="274" spans="1:29">
      <c r="B274" s="33" t="s">
        <v>38</v>
      </c>
      <c r="C274" s="23"/>
      <c r="D274" s="102"/>
      <c r="E274" s="152"/>
      <c r="F274" s="96"/>
      <c r="G274" s="72"/>
      <c r="H274" s="75">
        <f>+SUBTOTAL(9,H266:H273)</f>
        <v>17758278.200000003</v>
      </c>
      <c r="I274" s="75">
        <f>+SUBTOTAL(9,I266:I273)</f>
        <v>4815592</v>
      </c>
      <c r="J274" s="75">
        <f>+SUBTOTAL(9,J266:J273)</f>
        <v>13197432.7706</v>
      </c>
      <c r="K274" s="13"/>
      <c r="L274" s="13"/>
      <c r="M274" s="75">
        <f>+SUBTOTAL(9,M266:M273)</f>
        <v>621484.11084488826</v>
      </c>
      <c r="N274" s="27">
        <f>+ROUND(M274/H274*100,2)</f>
        <v>3.5</v>
      </c>
      <c r="O274" s="31"/>
      <c r="P274" s="103">
        <f>+SUBTOTAL(9,P266:P273)</f>
        <v>625126</v>
      </c>
      <c r="Q274" s="120">
        <f>+SUBTOTAL(9,Q266:Q273)</f>
        <v>-3641.8891551116858</v>
      </c>
      <c r="S274" s="103">
        <f>+SUBTOTAL(9,S266:S273)</f>
        <v>632251</v>
      </c>
      <c r="T274" s="103">
        <f>+SUBTOTAL(9,T266:T273)</f>
        <v>-10766.889155111687</v>
      </c>
      <c r="Y274" s="75">
        <f t="shared" ref="Y274:AC274" si="324">+SUBTOTAL(9,Y266:Y273)</f>
        <v>261040.4173679013</v>
      </c>
      <c r="Z274" s="75">
        <f t="shared" si="324"/>
        <v>262570.110965</v>
      </c>
      <c r="AA274" s="75">
        <f t="shared" si="324"/>
        <v>-1529.6935970986735</v>
      </c>
      <c r="AB274" s="75">
        <f t="shared" si="324"/>
        <v>265562.80690249999</v>
      </c>
      <c r="AC274" s="75">
        <f t="shared" si="324"/>
        <v>-4522.3895345986739</v>
      </c>
    </row>
    <row r="275" spans="1:29">
      <c r="C275" s="43"/>
      <c r="E275" s="153"/>
      <c r="F275" s="96"/>
      <c r="G275" s="72"/>
      <c r="I275" s="73"/>
      <c r="J275" s="73"/>
      <c r="K275" s="19"/>
      <c r="L275" s="19"/>
      <c r="M275" s="73"/>
      <c r="N275" s="27"/>
      <c r="O275" s="31"/>
      <c r="P275" s="19"/>
      <c r="S275" s="19"/>
      <c r="T275" s="19"/>
    </row>
    <row r="276" spans="1:29">
      <c r="B276" s="55" t="s">
        <v>39</v>
      </c>
      <c r="C276" s="43"/>
      <c r="E276" s="153"/>
      <c r="F276" s="96"/>
      <c r="G276" s="72"/>
      <c r="I276" s="73"/>
      <c r="J276" s="73"/>
      <c r="K276" s="19"/>
      <c r="L276" s="19"/>
      <c r="M276" s="73"/>
      <c r="N276" s="27"/>
      <c r="O276" s="31"/>
      <c r="P276" s="19"/>
      <c r="S276" s="19"/>
      <c r="T276" s="19"/>
    </row>
    <row r="277" spans="1:29">
      <c r="A277" s="20">
        <v>330.2</v>
      </c>
      <c r="B277" s="16" t="s">
        <v>10</v>
      </c>
      <c r="C277" s="138">
        <v>58075</v>
      </c>
      <c r="D277" s="102"/>
      <c r="E277" s="152"/>
      <c r="F277" s="97">
        <v>0</v>
      </c>
      <c r="G277" s="91">
        <f t="shared" ref="G277:G284" si="325">H277*F277</f>
        <v>0</v>
      </c>
      <c r="H277" s="74">
        <v>300510.01</v>
      </c>
      <c r="I277" s="74">
        <v>227732</v>
      </c>
      <c r="J277" s="74">
        <f t="shared" ref="J277:J284" si="326">H277-G277-I277</f>
        <v>72778.010000000009</v>
      </c>
      <c r="K277" s="13">
        <f>2058-2011</f>
        <v>47</v>
      </c>
      <c r="L277" s="32">
        <f t="shared" ref="L277:L284" si="327">(1-(D277/2)*K277)*K277</f>
        <v>47</v>
      </c>
      <c r="M277" s="74">
        <f t="shared" ref="M277:M284" si="328">J277/L277</f>
        <v>1548.4682978723406</v>
      </c>
      <c r="N277" s="68">
        <f t="shared" ref="N277:N284" si="329">M277/H277</f>
        <v>5.1528010593468766E-3</v>
      </c>
      <c r="O277" s="32">
        <v>47</v>
      </c>
      <c r="P277" s="13">
        <v>1549</v>
      </c>
      <c r="Q277" s="119">
        <f t="shared" ref="Q277:Q284" si="330">M277-P277</f>
        <v>-0.5317021276594005</v>
      </c>
      <c r="S277" s="13">
        <v>1517</v>
      </c>
      <c r="T277" s="13">
        <f t="shared" ref="T277:T284" si="331">M277-S277</f>
        <v>31.468297872340599</v>
      </c>
      <c r="W277" s="124">
        <v>0.4200275</v>
      </c>
      <c r="Y277" s="79">
        <f t="shared" ref="Y277:Y284" si="332">M277*W277</f>
        <v>650.39926798457452</v>
      </c>
      <c r="Z277" s="79">
        <f t="shared" ref="Z277:Z284" si="333">P277*W277</f>
        <v>650.62259749999998</v>
      </c>
      <c r="AA277" s="79">
        <f t="shared" ref="AA277:AA284" si="334">Q277*W277</f>
        <v>-0.22332951542545884</v>
      </c>
      <c r="AB277" s="79">
        <f t="shared" ref="AB277:AB284" si="335">S277*W277</f>
        <v>637.18171749999999</v>
      </c>
      <c r="AC277" s="79">
        <f t="shared" ref="AC277:AC284" si="336">T277*W277</f>
        <v>13.217550484574542</v>
      </c>
    </row>
    <row r="278" spans="1:29">
      <c r="A278" s="20">
        <v>330.5</v>
      </c>
      <c r="B278" s="16" t="s">
        <v>17</v>
      </c>
      <c r="C278" s="138">
        <v>58075</v>
      </c>
      <c r="D278" s="102"/>
      <c r="E278" s="152"/>
      <c r="F278" s="97">
        <v>0</v>
      </c>
      <c r="G278" s="91">
        <f t="shared" si="325"/>
        <v>0</v>
      </c>
      <c r="H278" s="74">
        <v>212279.74</v>
      </c>
      <c r="I278" s="74">
        <v>163648</v>
      </c>
      <c r="J278" s="74">
        <f t="shared" si="326"/>
        <v>48631.739999999991</v>
      </c>
      <c r="K278" s="13">
        <f t="shared" ref="K278:K284" si="337">2058-2011</f>
        <v>47</v>
      </c>
      <c r="L278" s="32">
        <f t="shared" si="327"/>
        <v>47</v>
      </c>
      <c r="M278" s="74">
        <f t="shared" si="328"/>
        <v>1034.7178723404254</v>
      </c>
      <c r="N278" s="68">
        <f t="shared" si="329"/>
        <v>4.8743128870443568E-3</v>
      </c>
      <c r="O278" s="32">
        <v>47</v>
      </c>
      <c r="P278" s="13">
        <v>1035</v>
      </c>
      <c r="Q278" s="119">
        <f t="shared" si="330"/>
        <v>-0.28212765957459851</v>
      </c>
      <c r="S278" s="13">
        <v>1011</v>
      </c>
      <c r="T278" s="13">
        <f t="shared" si="331"/>
        <v>23.717872340425401</v>
      </c>
      <c r="W278" s="124">
        <v>0.4200275</v>
      </c>
      <c r="Y278" s="79">
        <f t="shared" si="332"/>
        <v>434.60996112446804</v>
      </c>
      <c r="Z278" s="79">
        <f t="shared" si="333"/>
        <v>434.72846249999998</v>
      </c>
      <c r="AA278" s="79">
        <f t="shared" si="334"/>
        <v>-0.11850137553196967</v>
      </c>
      <c r="AB278" s="79">
        <f t="shared" si="335"/>
        <v>424.64780250000001</v>
      </c>
      <c r="AC278" s="79">
        <f t="shared" si="336"/>
        <v>9.9621586244680298</v>
      </c>
    </row>
    <row r="279" spans="1:29">
      <c r="A279" s="20">
        <v>331</v>
      </c>
      <c r="B279" s="15" t="s">
        <v>162</v>
      </c>
      <c r="C279" s="138">
        <v>58075</v>
      </c>
      <c r="D279" s="102">
        <v>2E-3</v>
      </c>
      <c r="E279" s="152">
        <v>2E-3</v>
      </c>
      <c r="F279" s="97">
        <v>-0.02</v>
      </c>
      <c r="G279" s="91">
        <f t="shared" si="325"/>
        <v>-631924.16079999995</v>
      </c>
      <c r="H279" s="74">
        <v>31596208.039999999</v>
      </c>
      <c r="I279" s="74">
        <v>10311084</v>
      </c>
      <c r="J279" s="74">
        <f t="shared" si="326"/>
        <v>21917048.200799998</v>
      </c>
      <c r="K279" s="13">
        <f t="shared" si="337"/>
        <v>47</v>
      </c>
      <c r="L279" s="32">
        <f t="shared" si="327"/>
        <v>44.790999999999997</v>
      </c>
      <c r="M279" s="74">
        <f t="shared" si="328"/>
        <v>489318.12642718403</v>
      </c>
      <c r="N279" s="68">
        <f t="shared" si="329"/>
        <v>1.5486609209805166E-2</v>
      </c>
      <c r="O279" s="32">
        <v>44.3</v>
      </c>
      <c r="P279" s="13">
        <v>516626</v>
      </c>
      <c r="Q279" s="119">
        <f t="shared" si="330"/>
        <v>-27307.873572815966</v>
      </c>
      <c r="S279" s="13">
        <v>1993989</v>
      </c>
      <c r="T279" s="13">
        <f t="shared" si="331"/>
        <v>-1504670.8735728159</v>
      </c>
      <c r="W279" s="124">
        <v>0.4200275</v>
      </c>
      <c r="Y279" s="79">
        <f t="shared" si="332"/>
        <v>205527.06934789405</v>
      </c>
      <c r="Z279" s="79">
        <f t="shared" si="333"/>
        <v>216997.12721499999</v>
      </c>
      <c r="AA279" s="79">
        <f t="shared" si="334"/>
        <v>-11470.057867105957</v>
      </c>
      <c r="AB279" s="79">
        <f t="shared" si="335"/>
        <v>837530.21469749999</v>
      </c>
      <c r="AC279" s="79">
        <f t="shared" si="336"/>
        <v>-632003.14534960594</v>
      </c>
    </row>
    <row r="280" spans="1:29">
      <c r="A280" s="20">
        <v>332</v>
      </c>
      <c r="B280" s="16" t="s">
        <v>163</v>
      </c>
      <c r="C280" s="138">
        <v>58075</v>
      </c>
      <c r="D280" s="102">
        <v>1.5E-3</v>
      </c>
      <c r="E280" s="152">
        <v>1.5E-3</v>
      </c>
      <c r="F280" s="97">
        <v>-0.01</v>
      </c>
      <c r="G280" s="91">
        <f t="shared" si="325"/>
        <v>-116567.3499</v>
      </c>
      <c r="H280" s="74">
        <v>11656734.99</v>
      </c>
      <c r="I280" s="74">
        <v>6206732</v>
      </c>
      <c r="J280" s="74">
        <f t="shared" si="326"/>
        <v>5566570.3399</v>
      </c>
      <c r="K280" s="13">
        <f t="shared" si="337"/>
        <v>47</v>
      </c>
      <c r="L280" s="32">
        <f t="shared" si="327"/>
        <v>45.343249999999998</v>
      </c>
      <c r="M280" s="74">
        <f t="shared" si="328"/>
        <v>122765.13791799221</v>
      </c>
      <c r="N280" s="68">
        <f t="shared" si="329"/>
        <v>1.0531691594885628E-2</v>
      </c>
      <c r="O280" s="32">
        <v>43.7</v>
      </c>
      <c r="P280" s="13">
        <v>148831</v>
      </c>
      <c r="Q280" s="119">
        <f t="shared" si="330"/>
        <v>-26065.862082007792</v>
      </c>
      <c r="S280" s="13">
        <v>442208</v>
      </c>
      <c r="T280" s="13">
        <f t="shared" si="331"/>
        <v>-319442.86208200781</v>
      </c>
      <c r="W280" s="124">
        <v>0.4200275</v>
      </c>
      <c r="Y280" s="79">
        <f t="shared" si="332"/>
        <v>51564.733966849475</v>
      </c>
      <c r="Z280" s="79">
        <f t="shared" si="333"/>
        <v>62513.112852500002</v>
      </c>
      <c r="AA280" s="79">
        <f t="shared" si="334"/>
        <v>-10948.378885650527</v>
      </c>
      <c r="AB280" s="79">
        <f t="shared" si="335"/>
        <v>185739.52072</v>
      </c>
      <c r="AC280" s="79">
        <f t="shared" si="336"/>
        <v>-134174.78675315055</v>
      </c>
    </row>
    <row r="281" spans="1:29">
      <c r="A281" s="20">
        <v>333</v>
      </c>
      <c r="B281" s="16" t="s">
        <v>381</v>
      </c>
      <c r="C281" s="138">
        <v>58075</v>
      </c>
      <c r="D281" s="102">
        <v>4.4999999999999997E-3</v>
      </c>
      <c r="E281" s="152">
        <v>4.4999999999999997E-3</v>
      </c>
      <c r="F281" s="97">
        <v>-0.04</v>
      </c>
      <c r="G281" s="91">
        <f t="shared" si="325"/>
        <v>-315595.51039999997</v>
      </c>
      <c r="H281" s="74">
        <v>7889887.7599999998</v>
      </c>
      <c r="I281" s="74">
        <v>4799510</v>
      </c>
      <c r="J281" s="74">
        <f t="shared" si="326"/>
        <v>3405973.2703999998</v>
      </c>
      <c r="K281" s="13">
        <f t="shared" si="337"/>
        <v>47</v>
      </c>
      <c r="L281" s="32">
        <f t="shared" si="327"/>
        <v>42.02975</v>
      </c>
      <c r="M281" s="74">
        <f t="shared" si="328"/>
        <v>81037.20032595958</v>
      </c>
      <c r="N281" s="68">
        <f t="shared" si="329"/>
        <v>1.0271020677480409E-2</v>
      </c>
      <c r="O281" s="32">
        <v>38.799999999999997</v>
      </c>
      <c r="P281" s="13">
        <v>114110</v>
      </c>
      <c r="Q281" s="119">
        <f t="shared" si="330"/>
        <v>-33072.79967404042</v>
      </c>
      <c r="S281" s="13">
        <v>111834</v>
      </c>
      <c r="T281" s="13">
        <f t="shared" si="331"/>
        <v>-30796.79967404042</v>
      </c>
      <c r="W281" s="124">
        <v>0.4200275</v>
      </c>
      <c r="Y281" s="79">
        <f t="shared" si="332"/>
        <v>34037.852659911987</v>
      </c>
      <c r="Z281" s="79">
        <f t="shared" si="333"/>
        <v>47929.338024999997</v>
      </c>
      <c r="AA281" s="79">
        <f t="shared" si="334"/>
        <v>-13891.485365088012</v>
      </c>
      <c r="AB281" s="79">
        <f t="shared" si="335"/>
        <v>46973.355434999998</v>
      </c>
      <c r="AC281" s="79">
        <f t="shared" si="336"/>
        <v>-12935.502775088013</v>
      </c>
    </row>
    <row r="282" spans="1:29">
      <c r="A282" s="20">
        <v>334</v>
      </c>
      <c r="B282" s="16" t="s">
        <v>13</v>
      </c>
      <c r="C282" s="138">
        <v>58075</v>
      </c>
      <c r="D282" s="102">
        <v>5.0000000000000001E-3</v>
      </c>
      <c r="E282" s="152">
        <v>4.0000000000000001E-3</v>
      </c>
      <c r="F282" s="97">
        <v>-0.02</v>
      </c>
      <c r="G282" s="91">
        <f t="shared" si="325"/>
        <v>-201158.9118</v>
      </c>
      <c r="H282" s="74">
        <v>10057945.59</v>
      </c>
      <c r="I282" s="74">
        <v>1969413</v>
      </c>
      <c r="J282" s="74">
        <f t="shared" si="326"/>
        <v>8289691.5018000007</v>
      </c>
      <c r="K282" s="13">
        <f t="shared" si="337"/>
        <v>47</v>
      </c>
      <c r="L282" s="32">
        <f t="shared" si="327"/>
        <v>41.477499999999999</v>
      </c>
      <c r="M282" s="74">
        <f t="shared" si="328"/>
        <v>199859.96026279309</v>
      </c>
      <c r="N282" s="68">
        <f t="shared" si="329"/>
        <v>1.9870853195060195E-2</v>
      </c>
      <c r="O282" s="32">
        <v>37.9</v>
      </c>
      <c r="P282" s="13">
        <v>234636</v>
      </c>
      <c r="Q282" s="119">
        <f t="shared" si="330"/>
        <v>-34776.039737206913</v>
      </c>
      <c r="S282" s="13">
        <v>232550</v>
      </c>
      <c r="T282" s="13">
        <f t="shared" si="331"/>
        <v>-32690.039737206913</v>
      </c>
      <c r="W282" s="124">
        <v>0.4200275</v>
      </c>
      <c r="Y282" s="79">
        <f t="shared" si="332"/>
        <v>83946.67945928032</v>
      </c>
      <c r="Z282" s="79">
        <f t="shared" si="333"/>
        <v>98553.572490000006</v>
      </c>
      <c r="AA282" s="79">
        <f t="shared" si="334"/>
        <v>-14606.893030719677</v>
      </c>
      <c r="AB282" s="79">
        <f t="shared" si="335"/>
        <v>97677.395124999995</v>
      </c>
      <c r="AC282" s="79">
        <f t="shared" si="336"/>
        <v>-13730.715665719677</v>
      </c>
    </row>
    <row r="283" spans="1:29">
      <c r="A283" s="20">
        <v>335</v>
      </c>
      <c r="B283" s="15" t="s">
        <v>378</v>
      </c>
      <c r="C283" s="138">
        <v>58075</v>
      </c>
      <c r="D283" s="102">
        <v>7.0000000000000001E-3</v>
      </c>
      <c r="E283" s="152">
        <v>6.0000000000000001E-3</v>
      </c>
      <c r="F283" s="97">
        <v>-0.02</v>
      </c>
      <c r="G283" s="91">
        <f t="shared" si="325"/>
        <v>-3177.4965999999999</v>
      </c>
      <c r="H283" s="74">
        <v>158874.82999999999</v>
      </c>
      <c r="I283" s="74">
        <v>34266</v>
      </c>
      <c r="J283" s="74">
        <f t="shared" si="326"/>
        <v>127786.3266</v>
      </c>
      <c r="K283" s="13">
        <f t="shared" si="337"/>
        <v>47</v>
      </c>
      <c r="L283" s="32">
        <f t="shared" si="327"/>
        <v>39.268500000000003</v>
      </c>
      <c r="M283" s="74">
        <f t="shared" si="328"/>
        <v>3254.168776500248</v>
      </c>
      <c r="N283" s="68">
        <f t="shared" si="329"/>
        <v>2.0482594860999997E-2</v>
      </c>
      <c r="O283" s="32">
        <v>40</v>
      </c>
      <c r="P283" s="13">
        <v>3235</v>
      </c>
      <c r="Q283" s="119">
        <f t="shared" si="330"/>
        <v>19.168776500247986</v>
      </c>
      <c r="S283" s="13">
        <v>3250</v>
      </c>
      <c r="T283" s="13">
        <f t="shared" si="331"/>
        <v>4.1687765002479864</v>
      </c>
      <c r="W283" s="124">
        <v>0.4200275</v>
      </c>
      <c r="Y283" s="79">
        <f t="shared" si="332"/>
        <v>1366.840375771458</v>
      </c>
      <c r="Z283" s="79">
        <f t="shared" si="333"/>
        <v>1358.7889625</v>
      </c>
      <c r="AA283" s="79">
        <f t="shared" si="334"/>
        <v>8.0514132714579105</v>
      </c>
      <c r="AB283" s="79">
        <f t="shared" si="335"/>
        <v>1365.089375</v>
      </c>
      <c r="AC283" s="79">
        <f t="shared" si="336"/>
        <v>1.751000771457911</v>
      </c>
    </row>
    <row r="284" spans="1:29">
      <c r="A284" s="20">
        <v>336</v>
      </c>
      <c r="B284" s="16" t="s">
        <v>164</v>
      </c>
      <c r="C284" s="138">
        <v>58075</v>
      </c>
      <c r="D284" s="102">
        <v>2E-3</v>
      </c>
      <c r="E284" s="152">
        <v>0.01</v>
      </c>
      <c r="F284" s="97">
        <v>-0.02</v>
      </c>
      <c r="G284" s="91">
        <f t="shared" si="325"/>
        <v>-42961.7716</v>
      </c>
      <c r="H284" s="74">
        <v>2148088.58</v>
      </c>
      <c r="I284" s="74">
        <v>718825</v>
      </c>
      <c r="J284" s="74">
        <f t="shared" si="326"/>
        <v>1472225.3516000002</v>
      </c>
      <c r="K284" s="13">
        <f t="shared" si="337"/>
        <v>47</v>
      </c>
      <c r="L284" s="32">
        <f t="shared" si="327"/>
        <v>44.790999999999997</v>
      </c>
      <c r="M284" s="74">
        <f t="shared" si="328"/>
        <v>32868.77612913309</v>
      </c>
      <c r="N284" s="88">
        <f t="shared" si="329"/>
        <v>1.5301406299144837E-2</v>
      </c>
      <c r="O284" s="32">
        <v>44.2</v>
      </c>
      <c r="P284" s="13">
        <v>35229</v>
      </c>
      <c r="Q284" s="119">
        <f t="shared" si="330"/>
        <v>-2360.2238708669101</v>
      </c>
      <c r="S284" s="13">
        <v>34563</v>
      </c>
      <c r="T284" s="13">
        <f t="shared" si="331"/>
        <v>-1694.2238708669101</v>
      </c>
      <c r="W284" s="124">
        <v>0.4200275</v>
      </c>
      <c r="Y284" s="79">
        <f t="shared" si="332"/>
        <v>13805.789865579449</v>
      </c>
      <c r="Z284" s="79">
        <f t="shared" si="333"/>
        <v>14797.1487975</v>
      </c>
      <c r="AA284" s="79">
        <f t="shared" si="334"/>
        <v>-991.35893192055107</v>
      </c>
      <c r="AB284" s="79">
        <f t="shared" si="335"/>
        <v>14517.410482499999</v>
      </c>
      <c r="AC284" s="79">
        <f t="shared" si="336"/>
        <v>-711.62061692055113</v>
      </c>
    </row>
    <row r="285" spans="1:29">
      <c r="B285" s="33" t="s">
        <v>40</v>
      </c>
      <c r="C285" s="23"/>
      <c r="D285" s="102"/>
      <c r="E285" s="152"/>
      <c r="F285" s="96"/>
      <c r="G285" s="72"/>
      <c r="H285" s="75">
        <f>+SUBTOTAL(9,H277:H284)</f>
        <v>64020529.539999992</v>
      </c>
      <c r="I285" s="75">
        <f>+SUBTOTAL(9,I277:I284)</f>
        <v>24431210</v>
      </c>
      <c r="J285" s="75">
        <f>+SUBTOTAL(9,J277:J284)</f>
        <v>40900704.741099991</v>
      </c>
      <c r="K285" s="13"/>
      <c r="L285" s="13"/>
      <c r="M285" s="75">
        <f>+SUBTOTAL(9,M277:M284)</f>
        <v>931686.55600977503</v>
      </c>
      <c r="N285" s="27">
        <f>+ROUND(M285/H285*100,2)</f>
        <v>1.46</v>
      </c>
      <c r="O285" s="31"/>
      <c r="P285" s="103">
        <f>+SUBTOTAL(9,P277:P284)</f>
        <v>1055251</v>
      </c>
      <c r="Q285" s="120">
        <f>+SUBTOTAL(9,Q277:Q284)</f>
        <v>-123564.443990225</v>
      </c>
      <c r="S285" s="103">
        <f>+SUBTOTAL(9,S277:S284)</f>
        <v>2820922</v>
      </c>
      <c r="T285" s="103">
        <f>+SUBTOTAL(9,T277:T284)</f>
        <v>-1889235.443990225</v>
      </c>
      <c r="Y285" s="75">
        <f t="shared" ref="Y285:AC285" si="338">+SUBTOTAL(9,Y277:Y284)</f>
        <v>391333.97490439581</v>
      </c>
      <c r="Z285" s="75">
        <f t="shared" si="338"/>
        <v>443234.43940249999</v>
      </c>
      <c r="AA285" s="75">
        <f t="shared" si="338"/>
        <v>-51900.464498104222</v>
      </c>
      <c r="AB285" s="75">
        <f t="shared" si="338"/>
        <v>1184864.8153550001</v>
      </c>
      <c r="AC285" s="75">
        <f t="shared" si="338"/>
        <v>-793530.84045060433</v>
      </c>
    </row>
    <row r="286" spans="1:29">
      <c r="C286" s="43"/>
      <c r="E286" s="153"/>
      <c r="F286" s="96"/>
      <c r="G286" s="72"/>
      <c r="I286" s="73"/>
      <c r="J286" s="73"/>
      <c r="K286" s="19"/>
      <c r="L286" s="19"/>
      <c r="M286" s="73"/>
      <c r="N286" s="27"/>
      <c r="O286" s="31"/>
      <c r="P286" s="19"/>
      <c r="S286" s="19"/>
      <c r="T286" s="19"/>
    </row>
    <row r="287" spans="1:29">
      <c r="B287" s="55" t="s">
        <v>41</v>
      </c>
      <c r="C287" s="43"/>
      <c r="E287" s="153"/>
      <c r="F287" s="96"/>
      <c r="G287" s="72"/>
      <c r="I287" s="73"/>
      <c r="J287" s="73"/>
      <c r="K287" s="19"/>
      <c r="L287" s="19"/>
      <c r="M287" s="73"/>
      <c r="N287" s="27"/>
      <c r="O287" s="31"/>
      <c r="P287" s="19"/>
      <c r="S287" s="19"/>
      <c r="T287" s="19"/>
    </row>
    <row r="288" spans="1:29">
      <c r="A288" s="20">
        <v>331</v>
      </c>
      <c r="B288" s="15" t="s">
        <v>162</v>
      </c>
      <c r="C288" s="138">
        <v>50770</v>
      </c>
      <c r="D288" s="102">
        <v>2E-3</v>
      </c>
      <c r="E288" s="152">
        <v>2E-3</v>
      </c>
      <c r="F288" s="97">
        <v>-0.01</v>
      </c>
      <c r="G288" s="91">
        <f t="shared" ref="G288:G293" si="339">H288*F288</f>
        <v>-231223.16989999998</v>
      </c>
      <c r="H288" s="74">
        <v>23122316.989999998</v>
      </c>
      <c r="I288" s="74">
        <v>6479110</v>
      </c>
      <c r="J288" s="74">
        <f t="shared" ref="J288:J293" si="340">H288-G288-I288</f>
        <v>16874430.159899998</v>
      </c>
      <c r="K288" s="13">
        <f>2038-2011</f>
        <v>27</v>
      </c>
      <c r="L288" s="32">
        <f t="shared" ref="L288:L293" si="341">(1-(D288/2)*K288)*K288</f>
        <v>26.271000000000001</v>
      </c>
      <c r="M288" s="74">
        <f t="shared" ref="M288:M293" si="342">J288/L288</f>
        <v>642321.57740093628</v>
      </c>
      <c r="N288" s="68">
        <f t="shared" ref="N288:N293" si="343">M288/H288</f>
        <v>2.7779291222360166E-2</v>
      </c>
      <c r="O288" s="32">
        <v>26.2</v>
      </c>
      <c r="P288" s="13">
        <v>662375</v>
      </c>
      <c r="Q288" s="119">
        <f t="shared" ref="Q288:Q293" si="344">M288-P288</f>
        <v>-20053.422599063721</v>
      </c>
      <c r="S288" s="13">
        <v>4078878</v>
      </c>
      <c r="T288" s="13">
        <f t="shared" ref="T288:T293" si="345">M288-S288</f>
        <v>-3436556.4225990637</v>
      </c>
      <c r="W288" s="124">
        <v>0.4200275</v>
      </c>
      <c r="Y288" s="79">
        <f t="shared" ref="Y288:Y293" si="346">M288*W288</f>
        <v>269792.72635177174</v>
      </c>
      <c r="Z288" s="79">
        <f t="shared" ref="Z288:Z293" si="347">P288*W288</f>
        <v>278215.71531250002</v>
      </c>
      <c r="AA288" s="79">
        <f t="shared" ref="AA288:AA293" si="348">Q288*W288</f>
        <v>-8422.9889607282366</v>
      </c>
      <c r="AB288" s="79">
        <f t="shared" ref="AB288:AB293" si="349">S288*W288</f>
        <v>1713240.9291449999</v>
      </c>
      <c r="AC288" s="79">
        <f t="shared" ref="AC288:AC293" si="350">T288*W288</f>
        <v>-1443448.2027932282</v>
      </c>
    </row>
    <row r="289" spans="1:29">
      <c r="A289" s="20">
        <v>332</v>
      </c>
      <c r="B289" s="16" t="s">
        <v>163</v>
      </c>
      <c r="C289" s="138">
        <v>50770</v>
      </c>
      <c r="D289" s="102">
        <v>1.5E-3</v>
      </c>
      <c r="E289" s="152">
        <v>1.5E-3</v>
      </c>
      <c r="F289" s="97">
        <v>-0.01</v>
      </c>
      <c r="G289" s="91">
        <f t="shared" si="339"/>
        <v>-1178653.4731000001</v>
      </c>
      <c r="H289" s="74">
        <v>117865347.31</v>
      </c>
      <c r="I289" s="74">
        <v>33112655</v>
      </c>
      <c r="J289" s="74">
        <f t="shared" si="340"/>
        <v>85931345.783100009</v>
      </c>
      <c r="K289" s="13">
        <f t="shared" ref="K289:K293" si="351">2038-2011</f>
        <v>27</v>
      </c>
      <c r="L289" s="32">
        <f t="shared" si="341"/>
        <v>26.453250000000001</v>
      </c>
      <c r="M289" s="74">
        <f t="shared" si="342"/>
        <v>3248423.0022057784</v>
      </c>
      <c r="N289" s="68">
        <f t="shared" si="343"/>
        <v>2.7560458407355611E-2</v>
      </c>
      <c r="O289" s="32">
        <v>26.4</v>
      </c>
      <c r="P289" s="13">
        <v>3304427</v>
      </c>
      <c r="Q289" s="119">
        <f t="shared" si="344"/>
        <v>-56003.997794221621</v>
      </c>
      <c r="S289" s="13">
        <v>3452056</v>
      </c>
      <c r="T289" s="13">
        <f t="shared" si="345"/>
        <v>-203632.99779422162</v>
      </c>
      <c r="W289" s="124">
        <v>0.4200275</v>
      </c>
      <c r="Y289" s="79">
        <f t="shared" si="346"/>
        <v>1364426.9925589876</v>
      </c>
      <c r="Z289" s="79">
        <f t="shared" si="347"/>
        <v>1387950.2117425001</v>
      </c>
      <c r="AA289" s="79">
        <f t="shared" si="348"/>
        <v>-23523.219183512421</v>
      </c>
      <c r="AB289" s="79">
        <f t="shared" si="349"/>
        <v>1449958.45154</v>
      </c>
      <c r="AC289" s="79">
        <f t="shared" si="350"/>
        <v>-85531.458981012416</v>
      </c>
    </row>
    <row r="290" spans="1:29">
      <c r="A290" s="20">
        <v>333</v>
      </c>
      <c r="B290" s="16" t="s">
        <v>381</v>
      </c>
      <c r="C290" s="138">
        <v>50770</v>
      </c>
      <c r="D290" s="102">
        <v>4.4999999999999997E-3</v>
      </c>
      <c r="E290" s="152">
        <v>4.4999999999999997E-3</v>
      </c>
      <c r="F290" s="97">
        <v>-0.02</v>
      </c>
      <c r="G290" s="91">
        <f t="shared" si="339"/>
        <v>-481074.67219999997</v>
      </c>
      <c r="H290" s="74">
        <v>24053733.609999999</v>
      </c>
      <c r="I290" s="74">
        <v>5362038</v>
      </c>
      <c r="J290" s="74">
        <f t="shared" si="340"/>
        <v>19172770.282200001</v>
      </c>
      <c r="K290" s="13">
        <f t="shared" si="351"/>
        <v>27</v>
      </c>
      <c r="L290" s="32">
        <f t="shared" si="341"/>
        <v>25.359750000000002</v>
      </c>
      <c r="M290" s="74">
        <f t="shared" si="342"/>
        <v>756031.51774761186</v>
      </c>
      <c r="N290" s="68">
        <f t="shared" si="343"/>
        <v>3.1430942489248423E-2</v>
      </c>
      <c r="O290" s="32">
        <v>25.9</v>
      </c>
      <c r="P290" s="13">
        <v>768676</v>
      </c>
      <c r="Q290" s="119">
        <f t="shared" si="344"/>
        <v>-12644.482252388145</v>
      </c>
      <c r="S290" s="13">
        <v>780725</v>
      </c>
      <c r="T290" s="13">
        <f t="shared" si="345"/>
        <v>-24693.482252388145</v>
      </c>
      <c r="W290" s="124">
        <v>0.4200275</v>
      </c>
      <c r="Y290" s="79">
        <f t="shared" si="346"/>
        <v>317554.02832073503</v>
      </c>
      <c r="Z290" s="79">
        <f t="shared" si="347"/>
        <v>322865.05858999997</v>
      </c>
      <c r="AA290" s="79">
        <f t="shared" si="348"/>
        <v>-5311.0302692649611</v>
      </c>
      <c r="AB290" s="79">
        <f t="shared" si="349"/>
        <v>327925.96993750002</v>
      </c>
      <c r="AC290" s="79">
        <f t="shared" si="350"/>
        <v>-10371.941616764962</v>
      </c>
    </row>
    <row r="291" spans="1:29">
      <c r="A291" s="20">
        <v>334</v>
      </c>
      <c r="B291" s="16" t="s">
        <v>13</v>
      </c>
      <c r="C291" s="138">
        <v>50770</v>
      </c>
      <c r="D291" s="102">
        <v>5.0000000000000001E-3</v>
      </c>
      <c r="E291" s="152">
        <v>4.0000000000000001E-3</v>
      </c>
      <c r="F291" s="97">
        <v>-0.01</v>
      </c>
      <c r="G291" s="91">
        <f t="shared" si="339"/>
        <v>-157647.4534</v>
      </c>
      <c r="H291" s="74">
        <v>15764745.34</v>
      </c>
      <c r="I291" s="74">
        <v>2428520</v>
      </c>
      <c r="J291" s="74">
        <f t="shared" si="340"/>
        <v>13493872.793400001</v>
      </c>
      <c r="K291" s="13">
        <f t="shared" si="351"/>
        <v>27</v>
      </c>
      <c r="L291" s="32">
        <f t="shared" si="341"/>
        <v>25.177499999999998</v>
      </c>
      <c r="M291" s="74">
        <f t="shared" si="342"/>
        <v>535949.66908549308</v>
      </c>
      <c r="N291" s="68">
        <f t="shared" si="343"/>
        <v>3.399672227661199E-2</v>
      </c>
      <c r="O291" s="32">
        <v>24.3</v>
      </c>
      <c r="P291" s="13">
        <v>573835</v>
      </c>
      <c r="Q291" s="119">
        <f t="shared" si="344"/>
        <v>-37885.330914506922</v>
      </c>
      <c r="S291" s="13">
        <v>583844</v>
      </c>
      <c r="T291" s="13">
        <f t="shared" si="345"/>
        <v>-47894.330914506922</v>
      </c>
      <c r="W291" s="124">
        <v>0.4200275</v>
      </c>
      <c r="Y291" s="79">
        <f t="shared" si="346"/>
        <v>225113.59963180695</v>
      </c>
      <c r="Z291" s="79">
        <f t="shared" si="347"/>
        <v>241026.48046250001</v>
      </c>
      <c r="AA291" s="79">
        <f t="shared" si="348"/>
        <v>-15912.880830693055</v>
      </c>
      <c r="AB291" s="79">
        <f t="shared" si="349"/>
        <v>245230.53571</v>
      </c>
      <c r="AC291" s="79">
        <f t="shared" si="350"/>
        <v>-20116.936078193055</v>
      </c>
    </row>
    <row r="292" spans="1:29">
      <c r="A292" s="20">
        <v>335</v>
      </c>
      <c r="B292" s="15" t="s">
        <v>378</v>
      </c>
      <c r="C292" s="138">
        <v>50770</v>
      </c>
      <c r="D292" s="102">
        <v>7.0000000000000001E-3</v>
      </c>
      <c r="E292" s="152">
        <v>6.0000000000000001E-3</v>
      </c>
      <c r="F292" s="97">
        <v>-0.01</v>
      </c>
      <c r="G292" s="91">
        <f t="shared" si="339"/>
        <v>-7165.2118999999993</v>
      </c>
      <c r="H292" s="74">
        <v>716521.19</v>
      </c>
      <c r="I292" s="74">
        <v>200692</v>
      </c>
      <c r="J292" s="74">
        <f t="shared" si="340"/>
        <v>522994.40189999994</v>
      </c>
      <c r="K292" s="13">
        <f t="shared" si="351"/>
        <v>27</v>
      </c>
      <c r="L292" s="32">
        <f t="shared" si="341"/>
        <v>24.448499999999999</v>
      </c>
      <c r="M292" s="74">
        <f t="shared" si="342"/>
        <v>21391.676458678445</v>
      </c>
      <c r="N292" s="68">
        <f t="shared" si="343"/>
        <v>2.9854911141816261E-2</v>
      </c>
      <c r="O292" s="32">
        <v>24.6</v>
      </c>
      <c r="P292" s="13">
        <v>21538</v>
      </c>
      <c r="Q292" s="119">
        <f t="shared" si="344"/>
        <v>-146.32354132155524</v>
      </c>
      <c r="S292" s="13">
        <v>21552</v>
      </c>
      <c r="T292" s="13">
        <f t="shared" si="345"/>
        <v>-160.32354132155524</v>
      </c>
      <c r="W292" s="124">
        <v>0.4200275</v>
      </c>
      <c r="Y292" s="79">
        <f t="shared" si="346"/>
        <v>8985.0923837475602</v>
      </c>
      <c r="Z292" s="79">
        <f t="shared" si="347"/>
        <v>9046.5522949999995</v>
      </c>
      <c r="AA292" s="79">
        <f t="shared" si="348"/>
        <v>-61.459911252439547</v>
      </c>
      <c r="AB292" s="79">
        <f t="shared" si="349"/>
        <v>9052.4326799999999</v>
      </c>
      <c r="AC292" s="79">
        <f t="shared" si="350"/>
        <v>-67.340296252439543</v>
      </c>
    </row>
    <row r="293" spans="1:29">
      <c r="A293" s="20">
        <v>336</v>
      </c>
      <c r="B293" s="16" t="s">
        <v>164</v>
      </c>
      <c r="C293" s="138">
        <v>50770</v>
      </c>
      <c r="D293" s="102">
        <v>2E-3</v>
      </c>
      <c r="E293" s="152">
        <v>0.01</v>
      </c>
      <c r="F293" s="97">
        <v>-0.01</v>
      </c>
      <c r="G293" s="91">
        <f t="shared" si="339"/>
        <v>-68408.14910000001</v>
      </c>
      <c r="H293" s="74">
        <v>6840814.9100000001</v>
      </c>
      <c r="I293" s="74">
        <v>2289521</v>
      </c>
      <c r="J293" s="74">
        <f t="shared" si="340"/>
        <v>4619702.0591000002</v>
      </c>
      <c r="K293" s="13">
        <f t="shared" si="351"/>
        <v>27</v>
      </c>
      <c r="L293" s="32">
        <f t="shared" si="341"/>
        <v>26.271000000000001</v>
      </c>
      <c r="M293" s="74">
        <f t="shared" si="342"/>
        <v>175847.97149328157</v>
      </c>
      <c r="N293" s="88">
        <f t="shared" si="343"/>
        <v>2.5705705213018484E-2</v>
      </c>
      <c r="O293" s="32">
        <v>26.1</v>
      </c>
      <c r="P293" s="13">
        <v>182378</v>
      </c>
      <c r="Q293" s="119">
        <f t="shared" si="344"/>
        <v>-6530.0285067184304</v>
      </c>
      <c r="S293" s="13">
        <v>185663</v>
      </c>
      <c r="T293" s="13">
        <f t="shared" si="345"/>
        <v>-9815.0285067184304</v>
      </c>
      <c r="W293" s="124">
        <v>0.4200275</v>
      </c>
      <c r="Y293" s="79">
        <f t="shared" si="346"/>
        <v>73860.983846394331</v>
      </c>
      <c r="Z293" s="79">
        <f t="shared" si="347"/>
        <v>76603.775395000004</v>
      </c>
      <c r="AA293" s="79">
        <f t="shared" si="348"/>
        <v>-2742.7915486056754</v>
      </c>
      <c r="AB293" s="79">
        <f t="shared" si="349"/>
        <v>77983.565732500007</v>
      </c>
      <c r="AC293" s="79">
        <f t="shared" si="350"/>
        <v>-4122.5818861056759</v>
      </c>
    </row>
    <row r="294" spans="1:29">
      <c r="B294" s="33" t="s">
        <v>42</v>
      </c>
      <c r="C294" s="23"/>
      <c r="D294" s="102"/>
      <c r="E294" s="152"/>
      <c r="F294" s="96"/>
      <c r="G294" s="72"/>
      <c r="H294" s="75">
        <f>+SUBTOTAL(9,H287:H293)</f>
        <v>188363479.35000002</v>
      </c>
      <c r="I294" s="75">
        <f>+SUBTOTAL(9,I287:I293)</f>
        <v>49872536</v>
      </c>
      <c r="J294" s="75">
        <f>+SUBTOTAL(9,J287:J293)</f>
        <v>140615115.47959998</v>
      </c>
      <c r="K294" s="13"/>
      <c r="L294" s="13"/>
      <c r="M294" s="75">
        <f>+SUBTOTAL(9,M287:M293)</f>
        <v>5379965.4143917793</v>
      </c>
      <c r="N294" s="27">
        <f>+ROUND(M294/H294*100,2)</f>
        <v>2.86</v>
      </c>
      <c r="O294" s="31"/>
      <c r="P294" s="103">
        <f>+SUBTOTAL(9,P287:P293)</f>
        <v>5513229</v>
      </c>
      <c r="Q294" s="120">
        <f>+SUBTOTAL(9,Q287:Q293)</f>
        <v>-133263.5856082204</v>
      </c>
      <c r="S294" s="103">
        <f>+SUBTOTAL(9,S287:S293)</f>
        <v>9102718</v>
      </c>
      <c r="T294" s="103">
        <f>+SUBTOTAL(9,T287:T293)</f>
        <v>-3722752.5856082202</v>
      </c>
      <c r="Y294" s="75">
        <f t="shared" ref="Y294:AC294" si="352">+SUBTOTAL(9,Y287:Y293)</f>
        <v>2259733.4230934433</v>
      </c>
      <c r="Z294" s="75">
        <f t="shared" si="352"/>
        <v>2315707.7937975</v>
      </c>
      <c r="AA294" s="75">
        <f t="shared" si="352"/>
        <v>-55974.37070405679</v>
      </c>
      <c r="AB294" s="75">
        <f t="shared" si="352"/>
        <v>3823391.8847449999</v>
      </c>
      <c r="AC294" s="75">
        <f t="shared" si="352"/>
        <v>-1563658.4616515569</v>
      </c>
    </row>
    <row r="295" spans="1:29">
      <c r="C295" s="43"/>
      <c r="E295" s="153"/>
      <c r="F295" s="96"/>
      <c r="G295" s="72"/>
      <c r="I295" s="73"/>
      <c r="J295" s="73"/>
      <c r="K295" s="19"/>
      <c r="L295" s="19"/>
      <c r="M295" s="73"/>
      <c r="N295" s="27"/>
      <c r="O295" s="31"/>
      <c r="P295" s="19"/>
      <c r="S295" s="19"/>
      <c r="T295" s="19"/>
    </row>
    <row r="296" spans="1:29">
      <c r="B296" s="55" t="s">
        <v>43</v>
      </c>
      <c r="C296" s="43"/>
      <c r="E296" s="153"/>
      <c r="F296" s="96"/>
      <c r="G296" s="72"/>
      <c r="I296" s="73"/>
      <c r="J296" s="73"/>
      <c r="K296" s="19"/>
      <c r="L296" s="19"/>
      <c r="M296" s="73"/>
      <c r="N296" s="27"/>
      <c r="O296" s="31"/>
      <c r="P296" s="19"/>
      <c r="S296" s="19"/>
      <c r="T296" s="19"/>
    </row>
    <row r="297" spans="1:29">
      <c r="A297" s="20">
        <v>331</v>
      </c>
      <c r="B297" s="15" t="s">
        <v>162</v>
      </c>
      <c r="C297" s="138">
        <v>42735</v>
      </c>
      <c r="D297" s="102">
        <v>2E-3</v>
      </c>
      <c r="E297" s="152">
        <v>2E-3</v>
      </c>
      <c r="F297" s="97">
        <v>0</v>
      </c>
      <c r="G297" s="91">
        <f t="shared" ref="G297:G300" si="353">H297*F297</f>
        <v>0</v>
      </c>
      <c r="H297" s="74">
        <v>190851.69</v>
      </c>
      <c r="I297" s="74">
        <v>149454</v>
      </c>
      <c r="J297" s="74">
        <f t="shared" ref="J297:J300" si="354">H297-G297-I297</f>
        <v>41397.69</v>
      </c>
      <c r="K297" s="13">
        <f>2016-2011</f>
        <v>5</v>
      </c>
      <c r="L297" s="32">
        <f>(1-(D297/2)*K297)*K297</f>
        <v>4.9749999999999996</v>
      </c>
      <c r="M297" s="74">
        <f>J297/L297</f>
        <v>8321.1437185929663</v>
      </c>
      <c r="N297" s="68">
        <f>M297/H297</f>
        <v>4.3600052577962324E-2</v>
      </c>
      <c r="O297" s="32">
        <v>4.9000000000000004</v>
      </c>
      <c r="P297" s="13">
        <v>8758</v>
      </c>
      <c r="Q297" s="119">
        <f t="shared" ref="Q297:Q300" si="355">M297-P297</f>
        <v>-436.85628140703375</v>
      </c>
      <c r="S297" s="13">
        <v>11250</v>
      </c>
      <c r="T297" s="13">
        <f t="shared" ref="T297:T300" si="356">M297-S297</f>
        <v>-2928.8562814070337</v>
      </c>
      <c r="W297" s="124">
        <v>0.4200275</v>
      </c>
      <c r="Y297" s="79">
        <f t="shared" ref="Y297:Y300" si="357">M297*W297</f>
        <v>3495.1091932613072</v>
      </c>
      <c r="Z297" s="79">
        <f t="shared" ref="Z297:Z300" si="358">P297*W297</f>
        <v>3678.6008449999999</v>
      </c>
      <c r="AA297" s="79">
        <f t="shared" ref="AA297:AA300" si="359">Q297*W297</f>
        <v>-183.49165173869287</v>
      </c>
      <c r="AB297" s="79">
        <f t="shared" ref="AB297:AB300" si="360">S297*W297</f>
        <v>4725.3093749999998</v>
      </c>
      <c r="AC297" s="79">
        <f t="shared" ref="AC297:AC300" si="361">T297*W297</f>
        <v>-1230.2001817386929</v>
      </c>
    </row>
    <row r="298" spans="1:29">
      <c r="A298" s="20">
        <v>334</v>
      </c>
      <c r="B298" s="16" t="s">
        <v>13</v>
      </c>
      <c r="C298" s="138">
        <v>42735</v>
      </c>
      <c r="D298" s="102">
        <v>5.0000000000000001E-3</v>
      </c>
      <c r="E298" s="152">
        <v>4.0000000000000001E-3</v>
      </c>
      <c r="F298" s="97">
        <v>0</v>
      </c>
      <c r="G298" s="91">
        <f t="shared" si="353"/>
        <v>0</v>
      </c>
      <c r="H298" s="74">
        <v>28640.22</v>
      </c>
      <c r="I298" s="74">
        <v>17085</v>
      </c>
      <c r="J298" s="74">
        <f t="shared" si="354"/>
        <v>11555.220000000001</v>
      </c>
      <c r="K298" s="13">
        <f t="shared" ref="K298:K300" si="362">2016-2011</f>
        <v>5</v>
      </c>
      <c r="L298" s="32">
        <f>(1-(D298/2)*K298)*K298</f>
        <v>4.9375</v>
      </c>
      <c r="M298" s="74">
        <f>J298/L298</f>
        <v>2340.2977215189876</v>
      </c>
      <c r="N298" s="68">
        <f>M298/H298</f>
        <v>8.1713678230089973E-2</v>
      </c>
      <c r="O298" s="32">
        <v>4.9000000000000004</v>
      </c>
      <c r="P298" s="13">
        <v>2410</v>
      </c>
      <c r="Q298" s="119">
        <f t="shared" si="355"/>
        <v>-69.702278481012399</v>
      </c>
      <c r="S298" s="13">
        <v>2621</v>
      </c>
      <c r="T298" s="13">
        <f t="shared" si="356"/>
        <v>-280.7022784810124</v>
      </c>
      <c r="W298" s="124">
        <v>0.4200275</v>
      </c>
      <c r="Y298" s="79">
        <f t="shared" si="357"/>
        <v>982.98940122531656</v>
      </c>
      <c r="Z298" s="79">
        <f t="shared" si="358"/>
        <v>1012.266275</v>
      </c>
      <c r="AA298" s="79">
        <f t="shared" si="359"/>
        <v>-29.276873774683434</v>
      </c>
      <c r="AB298" s="79">
        <f t="shared" si="360"/>
        <v>1100.8920774999999</v>
      </c>
      <c r="AC298" s="79">
        <f t="shared" si="361"/>
        <v>-117.90267627468343</v>
      </c>
    </row>
    <row r="299" spans="1:29">
      <c r="A299" s="20">
        <v>335</v>
      </c>
      <c r="B299" s="15" t="s">
        <v>378</v>
      </c>
      <c r="C299" s="138">
        <v>42735</v>
      </c>
      <c r="D299" s="102">
        <v>7.0000000000000001E-3</v>
      </c>
      <c r="E299" s="152">
        <v>6.0000000000000001E-3</v>
      </c>
      <c r="F299" s="97">
        <v>0</v>
      </c>
      <c r="G299" s="91">
        <f t="shared" si="353"/>
        <v>0</v>
      </c>
      <c r="H299" s="74">
        <v>3274.14</v>
      </c>
      <c r="I299" s="74">
        <v>2581</v>
      </c>
      <c r="J299" s="74">
        <f t="shared" si="354"/>
        <v>693.13999999999987</v>
      </c>
      <c r="K299" s="13">
        <f t="shared" si="362"/>
        <v>5</v>
      </c>
      <c r="L299" s="32">
        <f>(1-(D299/2)*K299)*K299</f>
        <v>4.9125000000000005</v>
      </c>
      <c r="M299" s="74">
        <f>J299/L299</f>
        <v>141.09720101781167</v>
      </c>
      <c r="N299" s="68">
        <f>M299/H299</f>
        <v>4.3094431214856933E-2</v>
      </c>
      <c r="O299" s="32">
        <v>5</v>
      </c>
      <c r="P299" s="13">
        <v>140</v>
      </c>
      <c r="Q299" s="119">
        <f t="shared" si="355"/>
        <v>1.0972010178116705</v>
      </c>
      <c r="S299" s="13">
        <v>144</v>
      </c>
      <c r="T299" s="13">
        <f t="shared" si="356"/>
        <v>-2.9027989821883295</v>
      </c>
      <c r="W299" s="124">
        <v>0.4200275</v>
      </c>
      <c r="Y299" s="79">
        <f t="shared" si="357"/>
        <v>59.264704600508892</v>
      </c>
      <c r="Z299" s="79">
        <f t="shared" si="358"/>
        <v>58.803849999999997</v>
      </c>
      <c r="AA299" s="79">
        <f t="shared" si="359"/>
        <v>0.46085460050889143</v>
      </c>
      <c r="AB299" s="79">
        <f t="shared" si="360"/>
        <v>60.483959999999996</v>
      </c>
      <c r="AC299" s="79">
        <f t="shared" si="361"/>
        <v>-1.2192553994911086</v>
      </c>
    </row>
    <row r="300" spans="1:29">
      <c r="A300" s="20">
        <v>336</v>
      </c>
      <c r="B300" s="16" t="s">
        <v>164</v>
      </c>
      <c r="C300" s="138">
        <v>42735</v>
      </c>
      <c r="D300" s="102">
        <v>2E-3</v>
      </c>
      <c r="E300" s="152">
        <v>0.01</v>
      </c>
      <c r="F300" s="97">
        <v>0</v>
      </c>
      <c r="G300" s="91">
        <f t="shared" si="353"/>
        <v>0</v>
      </c>
      <c r="H300" s="74">
        <v>12641.17</v>
      </c>
      <c r="I300" s="74">
        <v>6512</v>
      </c>
      <c r="J300" s="74">
        <f t="shared" si="354"/>
        <v>6129.17</v>
      </c>
      <c r="K300" s="13">
        <f t="shared" si="362"/>
        <v>5</v>
      </c>
      <c r="L300" s="32">
        <f>(1-(D300/2)*K300)*K300</f>
        <v>4.9749999999999996</v>
      </c>
      <c r="M300" s="74">
        <f>J300/L300</f>
        <v>1231.9939698492462</v>
      </c>
      <c r="N300" s="88">
        <f>M300/H300</f>
        <v>9.7458856249005923E-2</v>
      </c>
      <c r="O300" s="32">
        <v>5</v>
      </c>
      <c r="P300" s="13">
        <v>1231</v>
      </c>
      <c r="Q300" s="119">
        <f t="shared" si="355"/>
        <v>0.99396984924624121</v>
      </c>
      <c r="S300" s="13">
        <v>1601</v>
      </c>
      <c r="T300" s="13">
        <f t="shared" si="356"/>
        <v>-369.00603015075376</v>
      </c>
      <c r="W300" s="124">
        <v>0.4200275</v>
      </c>
      <c r="Y300" s="79">
        <f t="shared" si="357"/>
        <v>517.4713471708543</v>
      </c>
      <c r="Z300" s="79">
        <f t="shared" si="358"/>
        <v>517.05385249999995</v>
      </c>
      <c r="AA300" s="79">
        <f t="shared" si="359"/>
        <v>0.41749467085427555</v>
      </c>
      <c r="AB300" s="79">
        <f t="shared" si="360"/>
        <v>672.46402750000004</v>
      </c>
      <c r="AC300" s="79">
        <f t="shared" si="361"/>
        <v>-154.99268032914571</v>
      </c>
    </row>
    <row r="301" spans="1:29">
      <c r="B301" s="33" t="s">
        <v>44</v>
      </c>
      <c r="C301" s="23"/>
      <c r="D301" s="102"/>
      <c r="E301" s="152"/>
      <c r="F301" s="96"/>
      <c r="G301" s="72"/>
      <c r="H301" s="75">
        <f>+SUBTOTAL(9,H294:H300)</f>
        <v>235407.22000000003</v>
      </c>
      <c r="I301" s="75">
        <f>+SUBTOTAL(9,I294:I300)</f>
        <v>175632</v>
      </c>
      <c r="J301" s="75">
        <f>+SUBTOTAL(9,J294:J300)</f>
        <v>59775.22</v>
      </c>
      <c r="K301" s="13"/>
      <c r="L301" s="13"/>
      <c r="M301" s="75">
        <f>+SUBTOTAL(9,M294:M300)</f>
        <v>12034.532610979011</v>
      </c>
      <c r="N301" s="27">
        <f>+ROUND(M301/H301*100,2)</f>
        <v>5.1100000000000003</v>
      </c>
      <c r="O301" s="31"/>
      <c r="P301" s="103">
        <f>+SUBTOTAL(9,P294:P300)</f>
        <v>12539</v>
      </c>
      <c r="Q301" s="120">
        <f>+SUBTOTAL(9,Q294:Q300)</f>
        <v>-504.46738902098821</v>
      </c>
      <c r="S301" s="103">
        <f>+SUBTOTAL(9,S294:S300)</f>
        <v>15616</v>
      </c>
      <c r="T301" s="103">
        <f>+SUBTOTAL(9,T294:T300)</f>
        <v>-3581.4673890209883</v>
      </c>
      <c r="Y301" s="75">
        <f t="shared" ref="Y301:AC301" si="363">+SUBTOTAL(9,Y294:Y300)</f>
        <v>5054.8346462579866</v>
      </c>
      <c r="Z301" s="75">
        <f t="shared" si="363"/>
        <v>5266.7248225000003</v>
      </c>
      <c r="AA301" s="75">
        <f t="shared" si="363"/>
        <v>-211.89017624201313</v>
      </c>
      <c r="AB301" s="75">
        <f t="shared" si="363"/>
        <v>6559.1494399999992</v>
      </c>
      <c r="AC301" s="75">
        <f t="shared" si="363"/>
        <v>-1504.3147937420133</v>
      </c>
    </row>
    <row r="302" spans="1:29">
      <c r="C302" s="43"/>
      <c r="E302" s="153"/>
      <c r="F302" s="96"/>
      <c r="G302" s="72"/>
      <c r="I302" s="73"/>
      <c r="J302" s="73"/>
      <c r="K302" s="19"/>
      <c r="L302" s="19"/>
      <c r="M302" s="73"/>
      <c r="N302" s="27"/>
      <c r="O302" s="31"/>
      <c r="P302" s="19"/>
      <c r="S302" s="19"/>
      <c r="T302" s="19"/>
    </row>
    <row r="303" spans="1:29">
      <c r="B303" s="55" t="s">
        <v>45</v>
      </c>
      <c r="C303" s="43"/>
      <c r="E303" s="153"/>
      <c r="F303" s="96">
        <v>0</v>
      </c>
      <c r="G303" s="72"/>
      <c r="I303" s="73"/>
      <c r="J303" s="73"/>
      <c r="K303" s="19"/>
      <c r="L303" s="19"/>
      <c r="M303" s="73"/>
      <c r="N303" s="27"/>
      <c r="O303" s="31"/>
      <c r="P303" s="19"/>
      <c r="S303" s="19"/>
      <c r="T303" s="19"/>
    </row>
    <row r="304" spans="1:29">
      <c r="A304" s="20">
        <v>331</v>
      </c>
      <c r="B304" s="15" t="s">
        <v>162</v>
      </c>
      <c r="C304" s="138">
        <v>43100</v>
      </c>
      <c r="D304" s="102">
        <v>2E-3</v>
      </c>
      <c r="E304" s="152">
        <v>2E-3</v>
      </c>
      <c r="F304" s="97">
        <v>0</v>
      </c>
      <c r="G304" s="91">
        <f t="shared" ref="G304:G308" si="364">H304*F304</f>
        <v>0</v>
      </c>
      <c r="H304" s="74">
        <v>115992.18</v>
      </c>
      <c r="I304" s="74">
        <v>55262</v>
      </c>
      <c r="J304" s="74">
        <f t="shared" ref="J304:J308" si="365">H304-G304-I304</f>
        <v>60730.179999999993</v>
      </c>
      <c r="K304" s="13">
        <f>2017-2011</f>
        <v>6</v>
      </c>
      <c r="L304" s="32">
        <f>(1-(D304/2)*K304)*K304</f>
        <v>5.9640000000000004</v>
      </c>
      <c r="M304" s="74">
        <f>J304/L304</f>
        <v>10182.793427230044</v>
      </c>
      <c r="N304" s="68">
        <f>M304/H304</f>
        <v>8.7788620122753486E-2</v>
      </c>
      <c r="O304" s="32">
        <v>6</v>
      </c>
      <c r="P304" s="13">
        <v>10174</v>
      </c>
      <c r="Q304" s="119">
        <f t="shared" ref="Q304:Q308" si="366">M304-P304</f>
        <v>8.7934272300444718</v>
      </c>
      <c r="S304" s="13">
        <v>11734</v>
      </c>
      <c r="T304" s="13">
        <f t="shared" ref="T304:T308" si="367">M304-S304</f>
        <v>-1551.2065727699555</v>
      </c>
      <c r="W304" s="124">
        <v>0.4200275</v>
      </c>
      <c r="Y304" s="79">
        <f t="shared" ref="Y304:Y308" si="368">M304*W304</f>
        <v>4277.0532662558671</v>
      </c>
      <c r="Z304" s="79">
        <f t="shared" ref="Z304:Z308" si="369">P304*W304</f>
        <v>4273.3597849999996</v>
      </c>
      <c r="AA304" s="79">
        <f t="shared" ref="AA304:AA308" si="370">Q304*W304</f>
        <v>3.6934812558675043</v>
      </c>
      <c r="AB304" s="79">
        <f t="shared" ref="AB304:AB308" si="371">S304*W304</f>
        <v>4928.6026849999998</v>
      </c>
      <c r="AC304" s="79">
        <f t="shared" ref="AC304:AC308" si="372">T304*W304</f>
        <v>-651.54941874413248</v>
      </c>
    </row>
    <row r="305" spans="1:29">
      <c r="A305" s="20">
        <v>332</v>
      </c>
      <c r="B305" s="16" t="s">
        <v>163</v>
      </c>
      <c r="C305" s="138">
        <v>43100</v>
      </c>
      <c r="D305" s="102">
        <v>1.5E-3</v>
      </c>
      <c r="E305" s="152">
        <v>1.5E-3</v>
      </c>
      <c r="F305" s="97">
        <v>0</v>
      </c>
      <c r="G305" s="91">
        <f t="shared" si="364"/>
        <v>0</v>
      </c>
      <c r="H305" s="74">
        <v>96285</v>
      </c>
      <c r="I305" s="74">
        <v>95825</v>
      </c>
      <c r="J305" s="74">
        <f t="shared" si="365"/>
        <v>460</v>
      </c>
      <c r="K305" s="13">
        <f t="shared" ref="K305:K308" si="373">2017-2011</f>
        <v>6</v>
      </c>
      <c r="L305" s="32">
        <f>(1-(D305/2)*K305)*K305</f>
        <v>5.9730000000000008</v>
      </c>
      <c r="M305" s="74">
        <f>J305/L305</f>
        <v>77.013226184496887</v>
      </c>
      <c r="N305" s="68">
        <f>M305/H305</f>
        <v>7.9984656160873326E-4</v>
      </c>
      <c r="O305" s="32">
        <v>6</v>
      </c>
      <c r="P305" s="13">
        <v>238</v>
      </c>
      <c r="Q305" s="119">
        <f t="shared" si="366"/>
        <v>-160.98677381550311</v>
      </c>
      <c r="S305" s="13">
        <v>0</v>
      </c>
      <c r="T305" s="13">
        <f t="shared" si="367"/>
        <v>77.013226184496887</v>
      </c>
      <c r="W305" s="124">
        <v>0.4200275</v>
      </c>
      <c r="Y305" s="79">
        <f t="shared" si="368"/>
        <v>32.347672861208764</v>
      </c>
      <c r="Z305" s="79">
        <f t="shared" si="369"/>
        <v>99.966544999999996</v>
      </c>
      <c r="AA305" s="79">
        <f t="shared" si="370"/>
        <v>-67.618872138791232</v>
      </c>
      <c r="AB305" s="79">
        <f t="shared" si="371"/>
        <v>0</v>
      </c>
      <c r="AC305" s="79">
        <f t="shared" si="372"/>
        <v>32.347672861208764</v>
      </c>
    </row>
    <row r="306" spans="1:29">
      <c r="A306" s="20">
        <v>333</v>
      </c>
      <c r="B306" s="16" t="s">
        <v>381</v>
      </c>
      <c r="C306" s="138">
        <v>43100</v>
      </c>
      <c r="D306" s="102">
        <v>4.4999999999999997E-3</v>
      </c>
      <c r="E306" s="152">
        <v>4.4999999999999997E-3</v>
      </c>
      <c r="F306" s="97">
        <v>-0.01</v>
      </c>
      <c r="G306" s="91">
        <f t="shared" si="364"/>
        <v>-732.53330000000005</v>
      </c>
      <c r="H306" s="74">
        <v>73253.33</v>
      </c>
      <c r="I306" s="74">
        <v>68094</v>
      </c>
      <c r="J306" s="74">
        <f t="shared" si="365"/>
        <v>5891.8632999999973</v>
      </c>
      <c r="K306" s="13">
        <f t="shared" si="373"/>
        <v>6</v>
      </c>
      <c r="L306" s="32">
        <f>(1-(D306/2)*K306)*K306</f>
        <v>5.9190000000000005</v>
      </c>
      <c r="M306" s="74">
        <f>J306/L306</f>
        <v>995.41532353438026</v>
      </c>
      <c r="N306" s="68">
        <f>M306/H306</f>
        <v>1.3588669942163451E-2</v>
      </c>
      <c r="O306" s="32">
        <v>5.9</v>
      </c>
      <c r="P306" s="13">
        <v>991</v>
      </c>
      <c r="Q306" s="119">
        <f t="shared" si="366"/>
        <v>4.4153235343802635</v>
      </c>
      <c r="S306" s="13">
        <v>0</v>
      </c>
      <c r="T306" s="13">
        <f t="shared" si="367"/>
        <v>995.41532353438026</v>
      </c>
      <c r="W306" s="124">
        <v>0.4200275</v>
      </c>
      <c r="Y306" s="79">
        <f t="shared" si="368"/>
        <v>418.10180980583692</v>
      </c>
      <c r="Z306" s="79">
        <f t="shared" si="369"/>
        <v>416.2472525</v>
      </c>
      <c r="AA306" s="79">
        <f t="shared" si="370"/>
        <v>1.854557305836906</v>
      </c>
      <c r="AB306" s="79">
        <f t="shared" si="371"/>
        <v>0</v>
      </c>
      <c r="AC306" s="79">
        <f t="shared" si="372"/>
        <v>418.10180980583692</v>
      </c>
    </row>
    <row r="307" spans="1:29">
      <c r="A307" s="20">
        <v>334</v>
      </c>
      <c r="B307" s="16" t="s">
        <v>13</v>
      </c>
      <c r="C307" s="138">
        <v>43100</v>
      </c>
      <c r="D307" s="102">
        <v>5.0000000000000001E-3</v>
      </c>
      <c r="E307" s="152">
        <v>4.0000000000000001E-3</v>
      </c>
      <c r="F307" s="97">
        <v>0</v>
      </c>
      <c r="G307" s="91">
        <f t="shared" si="364"/>
        <v>0</v>
      </c>
      <c r="H307" s="74">
        <v>151116.65</v>
      </c>
      <c r="I307" s="74">
        <v>103434</v>
      </c>
      <c r="J307" s="74">
        <f t="shared" si="365"/>
        <v>47682.649999999994</v>
      </c>
      <c r="K307" s="13">
        <f t="shared" si="373"/>
        <v>6</v>
      </c>
      <c r="L307" s="32">
        <f>(1-(D307/2)*K307)*K307</f>
        <v>5.91</v>
      </c>
      <c r="M307" s="74">
        <f>J307/L307</f>
        <v>8068.1302876480531</v>
      </c>
      <c r="N307" s="68">
        <f>M307/H307</f>
        <v>5.3390081686220899E-2</v>
      </c>
      <c r="O307" s="32">
        <v>5.9</v>
      </c>
      <c r="P307" s="13">
        <v>8345</v>
      </c>
      <c r="Q307" s="119">
        <f t="shared" si="366"/>
        <v>-276.86971235194687</v>
      </c>
      <c r="S307" s="13">
        <v>7273</v>
      </c>
      <c r="T307" s="13">
        <f t="shared" si="367"/>
        <v>795.13028764805313</v>
      </c>
      <c r="W307" s="124">
        <v>0.4200275</v>
      </c>
      <c r="Y307" s="79">
        <f t="shared" si="368"/>
        <v>3388.8365943950926</v>
      </c>
      <c r="Z307" s="79">
        <f t="shared" si="369"/>
        <v>3505.1294874999999</v>
      </c>
      <c r="AA307" s="79">
        <f t="shared" si="370"/>
        <v>-116.29289310490736</v>
      </c>
      <c r="AB307" s="79">
        <f t="shared" si="371"/>
        <v>3054.8600074999999</v>
      </c>
      <c r="AC307" s="79">
        <f t="shared" si="372"/>
        <v>333.97658689509262</v>
      </c>
    </row>
    <row r="308" spans="1:29">
      <c r="A308" s="20">
        <v>335</v>
      </c>
      <c r="B308" s="15" t="s">
        <v>378</v>
      </c>
      <c r="C308" s="138">
        <v>43100</v>
      </c>
      <c r="D308" s="102">
        <v>7.0000000000000001E-3</v>
      </c>
      <c r="E308" s="152">
        <v>6.0000000000000001E-3</v>
      </c>
      <c r="F308" s="97">
        <v>0</v>
      </c>
      <c r="G308" s="91">
        <f t="shared" si="364"/>
        <v>0</v>
      </c>
      <c r="H308" s="74">
        <v>417.22</v>
      </c>
      <c r="I308" s="74">
        <v>390</v>
      </c>
      <c r="J308" s="74">
        <f t="shared" si="365"/>
        <v>27.220000000000027</v>
      </c>
      <c r="K308" s="13">
        <f t="shared" si="373"/>
        <v>6</v>
      </c>
      <c r="L308" s="32">
        <f>(1-(D308/2)*K308)*K308</f>
        <v>5.8739999999999997</v>
      </c>
      <c r="M308" s="74">
        <f>J308/L308</f>
        <v>4.6339802519577846</v>
      </c>
      <c r="N308" s="88">
        <f>M308/H308</f>
        <v>1.11068027706193E-2</v>
      </c>
      <c r="O308" s="32">
        <v>5.4</v>
      </c>
      <c r="P308" s="13">
        <v>5</v>
      </c>
      <c r="Q308" s="119">
        <f t="shared" si="366"/>
        <v>-0.36601974804221538</v>
      </c>
      <c r="S308" s="13">
        <v>0</v>
      </c>
      <c r="T308" s="13">
        <f t="shared" si="367"/>
        <v>4.6339802519577846</v>
      </c>
      <c r="W308" s="124">
        <v>0.4200275</v>
      </c>
      <c r="Y308" s="79">
        <f t="shared" si="368"/>
        <v>1.9463991402791985</v>
      </c>
      <c r="Z308" s="79">
        <f t="shared" si="369"/>
        <v>2.1001374999999998</v>
      </c>
      <c r="AA308" s="79">
        <f t="shared" si="370"/>
        <v>-0.15373835972080163</v>
      </c>
      <c r="AB308" s="79">
        <f t="shared" si="371"/>
        <v>0</v>
      </c>
      <c r="AC308" s="79">
        <f t="shared" si="372"/>
        <v>1.9463991402791985</v>
      </c>
    </row>
    <row r="309" spans="1:29">
      <c r="B309" s="33" t="s">
        <v>46</v>
      </c>
      <c r="C309" s="23"/>
      <c r="D309" s="102"/>
      <c r="E309" s="152"/>
      <c r="F309" s="96"/>
      <c r="G309" s="72"/>
      <c r="H309" s="75">
        <f>+SUBTOTAL(9,H302:H308)</f>
        <v>437064.38</v>
      </c>
      <c r="I309" s="75">
        <f>+SUBTOTAL(9,I302:I308)</f>
        <v>323005</v>
      </c>
      <c r="J309" s="75">
        <f>+SUBTOTAL(9,J302:J308)</f>
        <v>114791.91329999999</v>
      </c>
      <c r="K309" s="13"/>
      <c r="L309" s="13"/>
      <c r="M309" s="75">
        <f>+SUBTOTAL(9,M302:M308)</f>
        <v>19327.986244848933</v>
      </c>
      <c r="N309" s="27">
        <f>+ROUND(M309/H309*100,2)</f>
        <v>4.42</v>
      </c>
      <c r="O309" s="31"/>
      <c r="P309" s="103">
        <f>+SUBTOTAL(9,P302:P308)</f>
        <v>19753</v>
      </c>
      <c r="Q309" s="120">
        <f>+SUBTOTAL(9,Q302:Q308)</f>
        <v>-425.01375515106747</v>
      </c>
      <c r="S309" s="103">
        <f>+SUBTOTAL(9,S302:S308)</f>
        <v>19007</v>
      </c>
      <c r="T309" s="103">
        <f>+SUBTOTAL(9,T302:T308)</f>
        <v>320.98624484893259</v>
      </c>
      <c r="Y309" s="75">
        <f t="shared" ref="Y309:AC309" si="374">+SUBTOTAL(9,Y302:Y308)</f>
        <v>8118.2857424582835</v>
      </c>
      <c r="Z309" s="75">
        <f t="shared" si="374"/>
        <v>8296.8032074999992</v>
      </c>
      <c r="AA309" s="75">
        <f t="shared" si="374"/>
        <v>-178.51746504171498</v>
      </c>
      <c r="AB309" s="75">
        <f t="shared" si="374"/>
        <v>7983.4626924999993</v>
      </c>
      <c r="AC309" s="75">
        <f t="shared" si="374"/>
        <v>134.82304995828508</v>
      </c>
    </row>
    <row r="310" spans="1:29">
      <c r="C310" s="43"/>
      <c r="E310" s="153"/>
      <c r="F310" s="96"/>
      <c r="G310" s="72"/>
      <c r="I310" s="73"/>
      <c r="J310" s="73"/>
      <c r="K310" s="19"/>
      <c r="L310" s="19"/>
      <c r="M310" s="73"/>
      <c r="N310" s="27"/>
      <c r="O310" s="31"/>
      <c r="P310" s="19"/>
      <c r="S310" s="19"/>
      <c r="T310" s="19"/>
    </row>
    <row r="311" spans="1:29">
      <c r="B311" s="55" t="s">
        <v>47</v>
      </c>
      <c r="C311" s="43"/>
      <c r="E311" s="153"/>
      <c r="F311" s="96"/>
      <c r="G311" s="72"/>
      <c r="I311" s="73"/>
      <c r="J311" s="73"/>
      <c r="K311" s="19"/>
      <c r="L311" s="19"/>
      <c r="M311" s="73"/>
      <c r="N311" s="27"/>
      <c r="O311" s="31"/>
      <c r="P311" s="19"/>
      <c r="S311" s="19"/>
      <c r="T311" s="19"/>
    </row>
    <row r="312" spans="1:29">
      <c r="A312" s="20">
        <v>330.2</v>
      </c>
      <c r="B312" s="16" t="s">
        <v>10</v>
      </c>
      <c r="C312" s="138">
        <v>47848</v>
      </c>
      <c r="D312" s="102"/>
      <c r="E312" s="152"/>
      <c r="F312" s="97">
        <v>0</v>
      </c>
      <c r="G312" s="91">
        <f t="shared" ref="G312:G319" si="375">H312*F312</f>
        <v>0</v>
      </c>
      <c r="H312" s="74">
        <v>9247.48</v>
      </c>
      <c r="I312" s="74">
        <v>7357</v>
      </c>
      <c r="J312" s="74">
        <f t="shared" ref="J312:J319" si="376">H312-G312-I312</f>
        <v>1890.4799999999996</v>
      </c>
      <c r="K312" s="13">
        <f>2030-2011</f>
        <v>19</v>
      </c>
      <c r="L312" s="32">
        <f t="shared" ref="L312:L319" si="377">(1-(D312/2)*K312)*K312</f>
        <v>19</v>
      </c>
      <c r="M312" s="74">
        <f t="shared" ref="M312:M319" si="378">J312/L312</f>
        <v>99.498947368421028</v>
      </c>
      <c r="N312" s="68">
        <f t="shared" ref="N312:N319" si="379">M312/H312</f>
        <v>1.0759574215723747E-2</v>
      </c>
      <c r="O312" s="32">
        <v>19.100000000000001</v>
      </c>
      <c r="P312" s="13">
        <v>99</v>
      </c>
      <c r="Q312" s="119">
        <f t="shared" ref="Q312:Q319" si="380">M312-P312</f>
        <v>0.49894736842102816</v>
      </c>
      <c r="S312" s="13">
        <v>101</v>
      </c>
      <c r="T312" s="13">
        <f t="shared" ref="T312:T319" si="381">M312-S312</f>
        <v>-1.5010526315789718</v>
      </c>
      <c r="W312" s="124">
        <v>0.4200275</v>
      </c>
      <c r="Y312" s="79">
        <f t="shared" ref="Y312:Y319" si="382">M312*W312</f>
        <v>41.79229411578946</v>
      </c>
      <c r="Z312" s="79">
        <f t="shared" ref="Z312:Z319" si="383">P312*W312</f>
        <v>41.582722500000003</v>
      </c>
      <c r="AA312" s="79">
        <f t="shared" ref="AA312:AA319" si="384">Q312*W312</f>
        <v>0.2095716157894634</v>
      </c>
      <c r="AB312" s="79">
        <f t="shared" ref="AB312:AB319" si="385">S312*W312</f>
        <v>42.422777500000002</v>
      </c>
      <c r="AC312" s="79">
        <f t="shared" ref="AC312:AC319" si="386">T312*W312</f>
        <v>-0.63048338421053662</v>
      </c>
    </row>
    <row r="313" spans="1:29">
      <c r="A313" s="20">
        <v>330.3</v>
      </c>
      <c r="B313" s="16" t="s">
        <v>27</v>
      </c>
      <c r="C313" s="138">
        <v>47848</v>
      </c>
      <c r="D313" s="102"/>
      <c r="E313" s="152"/>
      <c r="F313" s="97">
        <v>0</v>
      </c>
      <c r="G313" s="91">
        <f t="shared" si="375"/>
        <v>0</v>
      </c>
      <c r="H313" s="74">
        <v>110805.67</v>
      </c>
      <c r="I313" s="74">
        <v>88175</v>
      </c>
      <c r="J313" s="74">
        <f t="shared" si="376"/>
        <v>22630.67</v>
      </c>
      <c r="K313" s="13">
        <f t="shared" ref="K313:K319" si="387">2030-2011</f>
        <v>19</v>
      </c>
      <c r="L313" s="32">
        <f t="shared" si="377"/>
        <v>19</v>
      </c>
      <c r="M313" s="74">
        <f t="shared" si="378"/>
        <v>1191.0878947368419</v>
      </c>
      <c r="N313" s="68">
        <f t="shared" si="379"/>
        <v>1.0749340667646719E-2</v>
      </c>
      <c r="O313" s="32">
        <v>19</v>
      </c>
      <c r="P313" s="13">
        <v>1191</v>
      </c>
      <c r="Q313" s="119">
        <f t="shared" si="380"/>
        <v>8.789473684191762E-2</v>
      </c>
      <c r="S313" s="13">
        <v>1210</v>
      </c>
      <c r="T313" s="13">
        <f t="shared" si="381"/>
        <v>-18.912105263158082</v>
      </c>
      <c r="W313" s="124">
        <v>0.4200275</v>
      </c>
      <c r="Y313" s="79">
        <f t="shared" si="382"/>
        <v>500.28967070657887</v>
      </c>
      <c r="Z313" s="79">
        <f t="shared" si="383"/>
        <v>500.25275249999999</v>
      </c>
      <c r="AA313" s="79">
        <f t="shared" si="384"/>
        <v>3.6918206578868552E-2</v>
      </c>
      <c r="AB313" s="79">
        <f t="shared" si="385"/>
        <v>508.23327499999999</v>
      </c>
      <c r="AC313" s="79">
        <f t="shared" si="386"/>
        <v>-7.9436042934211315</v>
      </c>
    </row>
    <row r="314" spans="1:29">
      <c r="A314" s="20">
        <v>331</v>
      </c>
      <c r="B314" s="15" t="s">
        <v>162</v>
      </c>
      <c r="C314" s="138">
        <v>47848</v>
      </c>
      <c r="D314" s="102">
        <v>2E-3</v>
      </c>
      <c r="E314" s="152">
        <v>2E-3</v>
      </c>
      <c r="F314" s="97">
        <v>-0.01</v>
      </c>
      <c r="G314" s="91">
        <f t="shared" si="375"/>
        <v>-5144.4222</v>
      </c>
      <c r="H314" s="74">
        <v>514442.22</v>
      </c>
      <c r="I314" s="74">
        <v>204736</v>
      </c>
      <c r="J314" s="74">
        <f t="shared" si="376"/>
        <v>314850.64219999994</v>
      </c>
      <c r="K314" s="13">
        <f t="shared" si="387"/>
        <v>19</v>
      </c>
      <c r="L314" s="32">
        <f t="shared" si="377"/>
        <v>18.638999999999999</v>
      </c>
      <c r="M314" s="74">
        <f t="shared" si="378"/>
        <v>16892.035098449483</v>
      </c>
      <c r="N314" s="68">
        <f t="shared" si="379"/>
        <v>3.283563137265344E-2</v>
      </c>
      <c r="O314" s="32">
        <v>18.600000000000001</v>
      </c>
      <c r="P314" s="13">
        <v>17239</v>
      </c>
      <c r="Q314" s="119">
        <f t="shared" si="380"/>
        <v>-346.96490155051652</v>
      </c>
      <c r="S314" s="13">
        <v>18118</v>
      </c>
      <c r="T314" s="13">
        <f t="shared" si="381"/>
        <v>-1225.9649015505165</v>
      </c>
      <c r="W314" s="124">
        <v>0.4200275</v>
      </c>
      <c r="Y314" s="79">
        <f t="shared" si="382"/>
        <v>7095.1192723139902</v>
      </c>
      <c r="Z314" s="79">
        <f t="shared" si="383"/>
        <v>7240.8540725000003</v>
      </c>
      <c r="AA314" s="79">
        <f t="shared" si="384"/>
        <v>-145.73480018600958</v>
      </c>
      <c r="AB314" s="79">
        <f t="shared" si="385"/>
        <v>7610.0582450000002</v>
      </c>
      <c r="AC314" s="79">
        <f t="shared" si="386"/>
        <v>-514.93897268600961</v>
      </c>
    </row>
    <row r="315" spans="1:29">
      <c r="A315" s="20">
        <v>332</v>
      </c>
      <c r="B315" s="16" t="s">
        <v>163</v>
      </c>
      <c r="C315" s="138">
        <v>47848</v>
      </c>
      <c r="D315" s="102">
        <v>1.5E-3</v>
      </c>
      <c r="E315" s="152">
        <v>1.5E-3</v>
      </c>
      <c r="F315" s="97">
        <v>-0.01</v>
      </c>
      <c r="G315" s="91">
        <f t="shared" si="375"/>
        <v>-81187.261299999998</v>
      </c>
      <c r="H315" s="74">
        <v>8118726.1299999999</v>
      </c>
      <c r="I315" s="74">
        <v>3891552</v>
      </c>
      <c r="J315" s="74">
        <f t="shared" si="376"/>
        <v>4308361.3913000003</v>
      </c>
      <c r="K315" s="13">
        <f t="shared" si="387"/>
        <v>19</v>
      </c>
      <c r="L315" s="32">
        <f t="shared" si="377"/>
        <v>18.72925</v>
      </c>
      <c r="M315" s="74">
        <f t="shared" si="378"/>
        <v>230033.84499112351</v>
      </c>
      <c r="N315" s="68">
        <f t="shared" si="379"/>
        <v>2.833373626696329E-2</v>
      </c>
      <c r="O315" s="32">
        <v>18.7</v>
      </c>
      <c r="P315" s="13">
        <v>235238</v>
      </c>
      <c r="Q315" s="119">
        <f t="shared" si="380"/>
        <v>-5204.1550088764925</v>
      </c>
      <c r="S315" s="13">
        <v>239907</v>
      </c>
      <c r="T315" s="13">
        <f t="shared" si="381"/>
        <v>-9873.1550088764925</v>
      </c>
      <c r="W315" s="124">
        <v>0.4200275</v>
      </c>
      <c r="Y315" s="79">
        <f t="shared" si="382"/>
        <v>96620.540827009128</v>
      </c>
      <c r="Z315" s="79">
        <f t="shared" si="383"/>
        <v>98806.429044999997</v>
      </c>
      <c r="AA315" s="79">
        <f t="shared" si="384"/>
        <v>-2185.888217990871</v>
      </c>
      <c r="AB315" s="79">
        <f t="shared" si="385"/>
        <v>100767.5374425</v>
      </c>
      <c r="AC315" s="79">
        <f t="shared" si="386"/>
        <v>-4146.9966154908707</v>
      </c>
    </row>
    <row r="316" spans="1:29">
      <c r="A316" s="20">
        <v>333</v>
      </c>
      <c r="B316" s="16" t="s">
        <v>381</v>
      </c>
      <c r="C316" s="138">
        <v>47848</v>
      </c>
      <c r="D316" s="102">
        <v>4.4999999999999997E-3</v>
      </c>
      <c r="E316" s="152">
        <v>4.4999999999999997E-3</v>
      </c>
      <c r="F316" s="97">
        <v>-0.02</v>
      </c>
      <c r="G316" s="91">
        <f t="shared" si="375"/>
        <v>-31978.4192</v>
      </c>
      <c r="H316" s="74">
        <v>1598920.96</v>
      </c>
      <c r="I316" s="74">
        <v>394338</v>
      </c>
      <c r="J316" s="74">
        <f t="shared" si="376"/>
        <v>1236561.3791999999</v>
      </c>
      <c r="K316" s="13">
        <f t="shared" si="387"/>
        <v>19</v>
      </c>
      <c r="L316" s="32">
        <f t="shared" si="377"/>
        <v>18.187750000000001</v>
      </c>
      <c r="M316" s="74">
        <f t="shared" si="378"/>
        <v>67988.694544404876</v>
      </c>
      <c r="N316" s="68">
        <f t="shared" si="379"/>
        <v>4.2521610664485177E-2</v>
      </c>
      <c r="O316" s="32">
        <v>18.7</v>
      </c>
      <c r="P316" s="13">
        <v>66166</v>
      </c>
      <c r="Q316" s="119">
        <f t="shared" si="380"/>
        <v>1822.6945444048761</v>
      </c>
      <c r="S316" s="13">
        <v>68640</v>
      </c>
      <c r="T316" s="13">
        <f t="shared" si="381"/>
        <v>-651.30545559512393</v>
      </c>
      <c r="W316" s="124">
        <v>0.4200275</v>
      </c>
      <c r="Y316" s="79">
        <f t="shared" si="382"/>
        <v>28557.121397750019</v>
      </c>
      <c r="Z316" s="79">
        <f t="shared" si="383"/>
        <v>27791.539564999999</v>
      </c>
      <c r="AA316" s="79">
        <f t="shared" si="384"/>
        <v>765.58183275001909</v>
      </c>
      <c r="AB316" s="79">
        <f t="shared" si="385"/>
        <v>28830.687600000001</v>
      </c>
      <c r="AC316" s="79">
        <f t="shared" si="386"/>
        <v>-273.5662022499809</v>
      </c>
    </row>
    <row r="317" spans="1:29">
      <c r="A317" s="20">
        <v>334</v>
      </c>
      <c r="B317" s="16" t="s">
        <v>13</v>
      </c>
      <c r="C317" s="138">
        <v>47848</v>
      </c>
      <c r="D317" s="102">
        <v>5.0000000000000001E-3</v>
      </c>
      <c r="E317" s="152">
        <v>4.0000000000000001E-3</v>
      </c>
      <c r="F317" s="97">
        <v>-0.01</v>
      </c>
      <c r="G317" s="91">
        <f t="shared" si="375"/>
        <v>-5434.0518000000002</v>
      </c>
      <c r="H317" s="74">
        <v>543405.18000000005</v>
      </c>
      <c r="I317" s="74">
        <v>226055</v>
      </c>
      <c r="J317" s="74">
        <f t="shared" si="376"/>
        <v>322784.23180000007</v>
      </c>
      <c r="K317" s="13">
        <f t="shared" si="387"/>
        <v>19</v>
      </c>
      <c r="L317" s="32">
        <f t="shared" si="377"/>
        <v>18.0975</v>
      </c>
      <c r="M317" s="74">
        <f t="shared" si="378"/>
        <v>17835.846487083854</v>
      </c>
      <c r="N317" s="68">
        <f t="shared" si="379"/>
        <v>3.2822371121092098E-2</v>
      </c>
      <c r="O317" s="32">
        <v>17.399999999999999</v>
      </c>
      <c r="P317" s="13">
        <v>19514</v>
      </c>
      <c r="Q317" s="119">
        <f t="shared" si="380"/>
        <v>-1678.1535129161457</v>
      </c>
      <c r="S317" s="13">
        <v>19598</v>
      </c>
      <c r="T317" s="13">
        <f t="shared" si="381"/>
        <v>-1762.1535129161457</v>
      </c>
      <c r="W317" s="124">
        <v>0.4200275</v>
      </c>
      <c r="Y317" s="79">
        <f t="shared" si="382"/>
        <v>7491.5460103536134</v>
      </c>
      <c r="Z317" s="79">
        <f t="shared" si="383"/>
        <v>8196.4166349999996</v>
      </c>
      <c r="AA317" s="79">
        <f t="shared" si="384"/>
        <v>-704.87062464638643</v>
      </c>
      <c r="AB317" s="79">
        <f t="shared" si="385"/>
        <v>8231.6989450000001</v>
      </c>
      <c r="AC317" s="79">
        <f t="shared" si="386"/>
        <v>-740.15293464638637</v>
      </c>
    </row>
    <row r="318" spans="1:29">
      <c r="A318" s="20">
        <v>335</v>
      </c>
      <c r="B318" s="15" t="s">
        <v>378</v>
      </c>
      <c r="C318" s="138">
        <v>47848</v>
      </c>
      <c r="D318" s="102">
        <v>7.0000000000000001E-3</v>
      </c>
      <c r="E318" s="152">
        <v>6.0000000000000001E-3</v>
      </c>
      <c r="F318" s="97">
        <v>-0.01</v>
      </c>
      <c r="G318" s="91">
        <f t="shared" si="375"/>
        <v>-96.016900000000007</v>
      </c>
      <c r="H318" s="74">
        <v>9601.69</v>
      </c>
      <c r="I318" s="74">
        <v>4918</v>
      </c>
      <c r="J318" s="74">
        <f t="shared" si="376"/>
        <v>4779.706900000001</v>
      </c>
      <c r="K318" s="13">
        <f t="shared" si="387"/>
        <v>19</v>
      </c>
      <c r="L318" s="32">
        <f t="shared" si="377"/>
        <v>17.736499999999999</v>
      </c>
      <c r="M318" s="74">
        <f t="shared" si="378"/>
        <v>269.48422180249776</v>
      </c>
      <c r="N318" s="68">
        <f t="shared" si="379"/>
        <v>2.8066332260518485E-2</v>
      </c>
      <c r="O318" s="32">
        <v>17.7</v>
      </c>
      <c r="P318" s="13">
        <v>270</v>
      </c>
      <c r="Q318" s="119">
        <f t="shared" si="380"/>
        <v>-0.51577819750224307</v>
      </c>
      <c r="S318" s="13">
        <v>270</v>
      </c>
      <c r="T318" s="13">
        <f t="shared" si="381"/>
        <v>-0.51577819750224307</v>
      </c>
      <c r="W318" s="124">
        <v>0.4200275</v>
      </c>
      <c r="Y318" s="79">
        <f t="shared" si="382"/>
        <v>113.19078397314863</v>
      </c>
      <c r="Z318" s="79">
        <f t="shared" si="383"/>
        <v>113.407425</v>
      </c>
      <c r="AA318" s="79">
        <f t="shared" si="384"/>
        <v>-0.2166410268513734</v>
      </c>
      <c r="AB318" s="79">
        <f t="shared" si="385"/>
        <v>113.407425</v>
      </c>
      <c r="AC318" s="79">
        <f t="shared" si="386"/>
        <v>-0.2166410268513734</v>
      </c>
    </row>
    <row r="319" spans="1:29">
      <c r="A319" s="20">
        <v>336</v>
      </c>
      <c r="B319" s="16" t="s">
        <v>164</v>
      </c>
      <c r="C319" s="138">
        <v>47848</v>
      </c>
      <c r="D319" s="102">
        <v>2E-3</v>
      </c>
      <c r="E319" s="152">
        <v>0.01</v>
      </c>
      <c r="F319" s="97">
        <v>-0.01</v>
      </c>
      <c r="G319" s="91">
        <f t="shared" si="375"/>
        <v>-707.54910000000007</v>
      </c>
      <c r="H319" s="74">
        <v>70754.91</v>
      </c>
      <c r="I319" s="74">
        <v>7613</v>
      </c>
      <c r="J319" s="74">
        <f t="shared" si="376"/>
        <v>63849.459100000007</v>
      </c>
      <c r="K319" s="13">
        <f t="shared" si="387"/>
        <v>19</v>
      </c>
      <c r="L319" s="32">
        <f t="shared" si="377"/>
        <v>18.638999999999999</v>
      </c>
      <c r="M319" s="74">
        <f t="shared" si="378"/>
        <v>3425.5839422715817</v>
      </c>
      <c r="N319" s="88">
        <f t="shared" si="379"/>
        <v>4.8414787641897668E-2</v>
      </c>
      <c r="O319" s="32">
        <v>18.7</v>
      </c>
      <c r="P319" s="13">
        <v>3417</v>
      </c>
      <c r="Q319" s="119">
        <f t="shared" si="380"/>
        <v>8.5839422715816909</v>
      </c>
      <c r="S319" s="13">
        <v>3643</v>
      </c>
      <c r="T319" s="13">
        <f t="shared" si="381"/>
        <v>-217.41605772841831</v>
      </c>
      <c r="W319" s="124">
        <v>0.4200275</v>
      </c>
      <c r="Y319" s="79">
        <f t="shared" si="382"/>
        <v>1438.8394593124767</v>
      </c>
      <c r="Z319" s="79">
        <f t="shared" si="383"/>
        <v>1435.2339675000001</v>
      </c>
      <c r="AA319" s="79">
        <f t="shared" si="384"/>
        <v>3.6054918124767785</v>
      </c>
      <c r="AB319" s="79">
        <f t="shared" si="385"/>
        <v>1530.1601825</v>
      </c>
      <c r="AC319" s="79">
        <f t="shared" si="386"/>
        <v>-91.320723187523214</v>
      </c>
    </row>
    <row r="320" spans="1:29">
      <c r="B320" s="33" t="s">
        <v>48</v>
      </c>
      <c r="C320" s="23"/>
      <c r="D320" s="102"/>
      <c r="E320" s="152"/>
      <c r="F320" s="96"/>
      <c r="G320" s="72"/>
      <c r="H320" s="75">
        <f>+SUBTOTAL(9,H312:H319)</f>
        <v>10975904.24</v>
      </c>
      <c r="I320" s="75">
        <f>+SUBTOTAL(9,I312:I319)</f>
        <v>4824744</v>
      </c>
      <c r="J320" s="75">
        <f>+SUBTOTAL(9,J312:J319)</f>
        <v>6275707.9604999991</v>
      </c>
      <c r="K320" s="13"/>
      <c r="L320" s="13"/>
      <c r="M320" s="75">
        <f>+SUBTOTAL(9,M312:M319)</f>
        <v>337736.07612724107</v>
      </c>
      <c r="N320" s="27">
        <f>+ROUND(M320/H320*100,2)</f>
        <v>3.08</v>
      </c>
      <c r="O320" s="31"/>
      <c r="P320" s="103">
        <f>+SUBTOTAL(9,P312:P319)</f>
        <v>343134</v>
      </c>
      <c r="Q320" s="120">
        <f>+SUBTOTAL(9,Q312:Q319)</f>
        <v>-5397.9238727589363</v>
      </c>
      <c r="S320" s="103">
        <f>+SUBTOTAL(9,S312:S319)</f>
        <v>351487</v>
      </c>
      <c r="T320" s="103">
        <f>+SUBTOTAL(9,T312:T319)</f>
        <v>-13750.923872758936</v>
      </c>
      <c r="Y320" s="75">
        <f t="shared" ref="Y320:AC320" si="388">+SUBTOTAL(9,Y312:Y319)</f>
        <v>141858.43971553471</v>
      </c>
      <c r="Z320" s="75">
        <f t="shared" si="388"/>
        <v>144125.71618500003</v>
      </c>
      <c r="AA320" s="75">
        <f t="shared" si="388"/>
        <v>-2267.2764694652542</v>
      </c>
      <c r="AB320" s="75">
        <f t="shared" si="388"/>
        <v>147634.20589250003</v>
      </c>
      <c r="AC320" s="75">
        <f t="shared" si="388"/>
        <v>-5775.7661769652541</v>
      </c>
    </row>
    <row r="321" spans="1:29">
      <c r="C321" s="43"/>
      <c r="E321" s="153"/>
      <c r="F321" s="96"/>
      <c r="G321" s="72"/>
      <c r="I321" s="73"/>
      <c r="J321" s="73"/>
      <c r="K321" s="19"/>
      <c r="L321" s="19"/>
      <c r="M321" s="73"/>
      <c r="N321" s="27"/>
      <c r="O321" s="31"/>
      <c r="P321" s="19"/>
      <c r="S321" s="19"/>
      <c r="T321" s="19"/>
    </row>
    <row r="322" spans="1:29">
      <c r="B322" s="55" t="s">
        <v>49</v>
      </c>
      <c r="C322" s="43"/>
      <c r="E322" s="153"/>
      <c r="F322" s="96"/>
      <c r="G322" s="72"/>
      <c r="I322" s="73"/>
      <c r="J322" s="73"/>
      <c r="K322" s="19"/>
      <c r="L322" s="19"/>
      <c r="M322" s="73"/>
      <c r="N322" s="27"/>
      <c r="O322" s="31"/>
      <c r="P322" s="19"/>
      <c r="S322" s="19"/>
      <c r="T322" s="19"/>
    </row>
    <row r="323" spans="1:29">
      <c r="A323" s="20">
        <v>330.2</v>
      </c>
      <c r="B323" s="16" t="s">
        <v>10</v>
      </c>
      <c r="C323" s="138">
        <v>50770</v>
      </c>
      <c r="D323" s="102"/>
      <c r="E323" s="152"/>
      <c r="F323" s="97">
        <v>0</v>
      </c>
      <c r="G323" s="91">
        <f t="shared" ref="G323:G330" si="389">H323*F323</f>
        <v>0</v>
      </c>
      <c r="H323" s="74">
        <v>3711.84</v>
      </c>
      <c r="I323" s="74">
        <v>1659</v>
      </c>
      <c r="J323" s="74">
        <f t="shared" ref="J323:J330" si="390">H323-G323-I323</f>
        <v>2052.84</v>
      </c>
      <c r="K323" s="13">
        <f>2038-2011</f>
        <v>27</v>
      </c>
      <c r="L323" s="32">
        <f t="shared" ref="L323:L330" si="391">(1-(D323/2)*K323)*K323</f>
        <v>27</v>
      </c>
      <c r="M323" s="74">
        <f t="shared" ref="M323:M330" si="392">J323/L323</f>
        <v>76.031111111111116</v>
      </c>
      <c r="N323" s="68">
        <f t="shared" ref="N323:N330" si="393">M323/H323</f>
        <v>2.0483402062349432E-2</v>
      </c>
      <c r="O323" s="32">
        <v>27</v>
      </c>
      <c r="P323" s="13">
        <v>76</v>
      </c>
      <c r="Q323" s="119">
        <f t="shared" ref="Q323:Q330" si="394">M323-P323</f>
        <v>3.1111111111115974E-2</v>
      </c>
      <c r="S323" s="13">
        <v>75</v>
      </c>
      <c r="T323" s="13">
        <f t="shared" ref="T323:T330" si="395">M323-S323</f>
        <v>1.031111111111116</v>
      </c>
      <c r="W323" s="124">
        <v>0.4200275</v>
      </c>
      <c r="Y323" s="79">
        <f t="shared" ref="Y323:Y330" si="396">M323*W323</f>
        <v>31.935157522222223</v>
      </c>
      <c r="Z323" s="79">
        <f t="shared" ref="Z323:Z330" si="397">P323*W323</f>
        <v>31.922090000000001</v>
      </c>
      <c r="AA323" s="79">
        <f t="shared" ref="AA323:AA330" si="398">Q323*W323</f>
        <v>1.3067522222224265E-2</v>
      </c>
      <c r="AB323" s="79">
        <f t="shared" ref="AB323:AB330" si="399">S323*W323</f>
        <v>31.502062500000001</v>
      </c>
      <c r="AC323" s="79">
        <f t="shared" ref="AC323:AC330" si="400">T323*W323</f>
        <v>0.43309502222222429</v>
      </c>
    </row>
    <row r="324" spans="1:29">
      <c r="A324" s="20">
        <v>330.4</v>
      </c>
      <c r="B324" s="16" t="s">
        <v>24</v>
      </c>
      <c r="C324" s="138">
        <v>50770</v>
      </c>
      <c r="D324" s="102"/>
      <c r="E324" s="152"/>
      <c r="F324" s="97">
        <v>0</v>
      </c>
      <c r="G324" s="91">
        <f t="shared" si="389"/>
        <v>0</v>
      </c>
      <c r="H324" s="74">
        <v>3166.96</v>
      </c>
      <c r="I324" s="74">
        <v>1988</v>
      </c>
      <c r="J324" s="74">
        <f t="shared" si="390"/>
        <v>1178.96</v>
      </c>
      <c r="K324" s="13">
        <f t="shared" ref="K324:K330" si="401">2038-2011</f>
        <v>27</v>
      </c>
      <c r="L324" s="32">
        <f t="shared" si="391"/>
        <v>27</v>
      </c>
      <c r="M324" s="74">
        <f t="shared" si="392"/>
        <v>43.665185185185187</v>
      </c>
      <c r="N324" s="68">
        <f t="shared" si="393"/>
        <v>1.3787728668876521E-2</v>
      </c>
      <c r="O324" s="32">
        <v>26.8</v>
      </c>
      <c r="P324" s="13">
        <v>44</v>
      </c>
      <c r="Q324" s="119">
        <f t="shared" si="394"/>
        <v>-0.33481481481481268</v>
      </c>
      <c r="S324" s="13">
        <v>43</v>
      </c>
      <c r="T324" s="13">
        <f t="shared" si="395"/>
        <v>0.66518518518518732</v>
      </c>
      <c r="W324" s="124">
        <v>0.4200275</v>
      </c>
      <c r="Y324" s="79">
        <f t="shared" si="396"/>
        <v>18.340578570370372</v>
      </c>
      <c r="Z324" s="79">
        <f t="shared" si="397"/>
        <v>18.481210000000001</v>
      </c>
      <c r="AA324" s="79">
        <f t="shared" si="398"/>
        <v>-0.14063142962962874</v>
      </c>
      <c r="AB324" s="79">
        <f t="shared" si="399"/>
        <v>18.061182500000001</v>
      </c>
      <c r="AC324" s="79">
        <f t="shared" si="400"/>
        <v>0.27939607037037129</v>
      </c>
    </row>
    <row r="325" spans="1:29">
      <c r="A325" s="20">
        <v>331</v>
      </c>
      <c r="B325" s="15" t="s">
        <v>162</v>
      </c>
      <c r="C325" s="138">
        <v>50770</v>
      </c>
      <c r="D325" s="102">
        <v>2E-3</v>
      </c>
      <c r="E325" s="152">
        <v>2E-3</v>
      </c>
      <c r="F325" s="97">
        <v>-0.01</v>
      </c>
      <c r="G325" s="91">
        <f t="shared" si="389"/>
        <v>-33105.213400000001</v>
      </c>
      <c r="H325" s="74">
        <v>3310521.34</v>
      </c>
      <c r="I325" s="74">
        <v>1043997</v>
      </c>
      <c r="J325" s="74">
        <f t="shared" si="390"/>
        <v>2299629.5533999996</v>
      </c>
      <c r="K325" s="13">
        <f t="shared" si="401"/>
        <v>27</v>
      </c>
      <c r="L325" s="32">
        <f t="shared" si="391"/>
        <v>26.271000000000001</v>
      </c>
      <c r="M325" s="74">
        <f t="shared" si="392"/>
        <v>87534.907441665695</v>
      </c>
      <c r="N325" s="68">
        <f t="shared" si="393"/>
        <v>2.6441426727569651E-2</v>
      </c>
      <c r="O325" s="32">
        <v>26.1</v>
      </c>
      <c r="P325" s="13">
        <v>90682</v>
      </c>
      <c r="Q325" s="119">
        <f t="shared" si="394"/>
        <v>-3147.0925583343051</v>
      </c>
      <c r="S325" s="13">
        <v>91308</v>
      </c>
      <c r="T325" s="13">
        <f t="shared" si="395"/>
        <v>-3773.0925583343051</v>
      </c>
      <c r="W325" s="124">
        <v>0.4200275</v>
      </c>
      <c r="Y325" s="79">
        <f t="shared" si="396"/>
        <v>36767.068335454234</v>
      </c>
      <c r="Z325" s="79">
        <f t="shared" si="397"/>
        <v>38088.933754999998</v>
      </c>
      <c r="AA325" s="79">
        <f t="shared" si="398"/>
        <v>-1321.8654195457623</v>
      </c>
      <c r="AB325" s="79">
        <f t="shared" si="399"/>
        <v>38351.870969999996</v>
      </c>
      <c r="AC325" s="79">
        <f t="shared" si="400"/>
        <v>-1584.8026345457622</v>
      </c>
    </row>
    <row r="326" spans="1:29">
      <c r="A326" s="20">
        <v>332</v>
      </c>
      <c r="B326" s="16" t="s">
        <v>163</v>
      </c>
      <c r="C326" s="138">
        <v>50770</v>
      </c>
      <c r="D326" s="102">
        <v>1.5E-3</v>
      </c>
      <c r="E326" s="152">
        <v>1.5E-3</v>
      </c>
      <c r="F326" s="97">
        <v>-0.01</v>
      </c>
      <c r="G326" s="91">
        <f t="shared" si="389"/>
        <v>-261621.63710000002</v>
      </c>
      <c r="H326" s="74">
        <v>26162163.710000001</v>
      </c>
      <c r="I326" s="74">
        <v>6116126</v>
      </c>
      <c r="J326" s="74">
        <f t="shared" si="390"/>
        <v>20307659.347100001</v>
      </c>
      <c r="K326" s="13">
        <f t="shared" si="401"/>
        <v>27</v>
      </c>
      <c r="L326" s="32">
        <f t="shared" si="391"/>
        <v>26.453250000000001</v>
      </c>
      <c r="M326" s="74">
        <f t="shared" si="392"/>
        <v>767681.07310443895</v>
      </c>
      <c r="N326" s="68">
        <f t="shared" si="393"/>
        <v>2.9343179777252412E-2</v>
      </c>
      <c r="O326" s="32">
        <v>26.5</v>
      </c>
      <c r="P326" s="13">
        <v>777016</v>
      </c>
      <c r="Q326" s="119">
        <f t="shared" si="394"/>
        <v>-9334.926895561046</v>
      </c>
      <c r="S326" s="13">
        <v>1181931</v>
      </c>
      <c r="T326" s="13">
        <f t="shared" si="395"/>
        <v>-414249.92689556105</v>
      </c>
      <c r="W326" s="124">
        <v>0.4200275</v>
      </c>
      <c r="Y326" s="79">
        <f t="shared" si="396"/>
        <v>322447.16193337471</v>
      </c>
      <c r="Z326" s="79">
        <f t="shared" si="397"/>
        <v>326368.08794</v>
      </c>
      <c r="AA326" s="79">
        <f t="shared" si="398"/>
        <v>-3920.9260066252673</v>
      </c>
      <c r="AB326" s="79">
        <f t="shared" si="399"/>
        <v>496443.52310250001</v>
      </c>
      <c r="AC326" s="79">
        <f t="shared" si="400"/>
        <v>-173996.36116912527</v>
      </c>
    </row>
    <row r="327" spans="1:29">
      <c r="A327" s="20">
        <v>333</v>
      </c>
      <c r="B327" s="16" t="s">
        <v>381</v>
      </c>
      <c r="C327" s="138">
        <v>50770</v>
      </c>
      <c r="D327" s="102">
        <v>4.4999999999999997E-3</v>
      </c>
      <c r="E327" s="152">
        <v>4.4999999999999997E-3</v>
      </c>
      <c r="F327" s="97">
        <v>-0.02</v>
      </c>
      <c r="G327" s="91">
        <f t="shared" si="389"/>
        <v>-77977.231200000009</v>
      </c>
      <c r="H327" s="74">
        <v>3898861.56</v>
      </c>
      <c r="I327" s="74">
        <v>916508</v>
      </c>
      <c r="J327" s="74">
        <f t="shared" si="390"/>
        <v>3060330.7911999999</v>
      </c>
      <c r="K327" s="13">
        <f t="shared" si="401"/>
        <v>27</v>
      </c>
      <c r="L327" s="32">
        <f t="shared" si="391"/>
        <v>25.359750000000002</v>
      </c>
      <c r="M327" s="74">
        <f t="shared" si="392"/>
        <v>120676.69402103726</v>
      </c>
      <c r="N327" s="68">
        <f t="shared" si="393"/>
        <v>3.0951777118507703E-2</v>
      </c>
      <c r="O327" s="32">
        <v>25.9</v>
      </c>
      <c r="P327" s="13">
        <v>122725</v>
      </c>
      <c r="Q327" s="119">
        <f t="shared" si="394"/>
        <v>-2048.3059789627441</v>
      </c>
      <c r="S327" s="13">
        <v>123224</v>
      </c>
      <c r="T327" s="13">
        <f t="shared" si="395"/>
        <v>-2547.3059789627441</v>
      </c>
      <c r="W327" s="124">
        <v>0.4200275</v>
      </c>
      <c r="Y327" s="79">
        <f t="shared" si="396"/>
        <v>50687.530097921226</v>
      </c>
      <c r="Z327" s="79">
        <f t="shared" si="397"/>
        <v>51547.874937499997</v>
      </c>
      <c r="AA327" s="79">
        <f t="shared" si="398"/>
        <v>-860.34483957877399</v>
      </c>
      <c r="AB327" s="79">
        <f t="shared" si="399"/>
        <v>51757.468659999999</v>
      </c>
      <c r="AC327" s="79">
        <f t="shared" si="400"/>
        <v>-1069.9385620787741</v>
      </c>
    </row>
    <row r="328" spans="1:29">
      <c r="A328" s="20">
        <v>334</v>
      </c>
      <c r="B328" s="16" t="s">
        <v>13</v>
      </c>
      <c r="C328" s="138">
        <v>50770</v>
      </c>
      <c r="D328" s="102">
        <v>5.0000000000000001E-3</v>
      </c>
      <c r="E328" s="152">
        <v>4.0000000000000001E-3</v>
      </c>
      <c r="F328" s="97">
        <v>-0.01</v>
      </c>
      <c r="G328" s="91">
        <f t="shared" si="389"/>
        <v>-21779.994600000002</v>
      </c>
      <c r="H328" s="74">
        <v>2177999.46</v>
      </c>
      <c r="I328" s="74">
        <v>573906</v>
      </c>
      <c r="J328" s="74">
        <f t="shared" si="390"/>
        <v>1625873.4545999998</v>
      </c>
      <c r="K328" s="13">
        <f t="shared" si="401"/>
        <v>27</v>
      </c>
      <c r="L328" s="32">
        <f t="shared" si="391"/>
        <v>25.177499999999998</v>
      </c>
      <c r="M328" s="74">
        <f t="shared" si="392"/>
        <v>64576.445421507298</v>
      </c>
      <c r="N328" s="68">
        <f t="shared" si="393"/>
        <v>2.9649431327915619E-2</v>
      </c>
      <c r="O328" s="32">
        <v>23.9</v>
      </c>
      <c r="P328" s="13">
        <v>71647</v>
      </c>
      <c r="Q328" s="119">
        <f t="shared" si="394"/>
        <v>-7070.5545784927017</v>
      </c>
      <c r="S328" s="13">
        <v>71541</v>
      </c>
      <c r="T328" s="13">
        <f t="shared" si="395"/>
        <v>-6964.5545784927017</v>
      </c>
      <c r="W328" s="124">
        <v>0.4200275</v>
      </c>
      <c r="Y328" s="79">
        <f t="shared" si="396"/>
        <v>27123.882929282157</v>
      </c>
      <c r="Z328" s="79">
        <f t="shared" si="397"/>
        <v>30093.7102925</v>
      </c>
      <c r="AA328" s="79">
        <f t="shared" si="398"/>
        <v>-2969.8273632178434</v>
      </c>
      <c r="AB328" s="79">
        <f t="shared" si="399"/>
        <v>30049.187377499999</v>
      </c>
      <c r="AC328" s="79">
        <f t="shared" si="400"/>
        <v>-2925.3044482178434</v>
      </c>
    </row>
    <row r="329" spans="1:29">
      <c r="A329" s="20">
        <v>335</v>
      </c>
      <c r="B329" s="15" t="s">
        <v>378</v>
      </c>
      <c r="C329" s="138">
        <v>50770</v>
      </c>
      <c r="D329" s="102">
        <v>7.0000000000000001E-3</v>
      </c>
      <c r="E329" s="152">
        <v>6.0000000000000001E-3</v>
      </c>
      <c r="F329" s="97">
        <v>-0.01</v>
      </c>
      <c r="G329" s="91">
        <f t="shared" si="389"/>
        <v>-190.27060000000003</v>
      </c>
      <c r="H329" s="74">
        <v>19027.060000000001</v>
      </c>
      <c r="I329" s="74">
        <v>4930</v>
      </c>
      <c r="J329" s="74">
        <f t="shared" si="390"/>
        <v>14287.330600000001</v>
      </c>
      <c r="K329" s="13">
        <f t="shared" si="401"/>
        <v>27</v>
      </c>
      <c r="L329" s="32">
        <f t="shared" si="391"/>
        <v>24.448499999999999</v>
      </c>
      <c r="M329" s="74">
        <f t="shared" si="392"/>
        <v>584.38475162075395</v>
      </c>
      <c r="N329" s="68">
        <f t="shared" si="393"/>
        <v>3.07133499143196E-2</v>
      </c>
      <c r="O329" s="32">
        <v>24.8</v>
      </c>
      <c r="P329" s="13">
        <v>584</v>
      </c>
      <c r="Q329" s="119">
        <f t="shared" si="394"/>
        <v>0.38475162075394564</v>
      </c>
      <c r="S329" s="13">
        <v>573</v>
      </c>
      <c r="T329" s="13">
        <f t="shared" si="395"/>
        <v>11.384751620753946</v>
      </c>
      <c r="W329" s="124">
        <v>0.4200275</v>
      </c>
      <c r="Y329" s="79">
        <f t="shared" si="396"/>
        <v>245.45766626138624</v>
      </c>
      <c r="Z329" s="79">
        <f t="shared" si="397"/>
        <v>245.29606000000001</v>
      </c>
      <c r="AA329" s="79">
        <f t="shared" si="398"/>
        <v>0.16160626138622791</v>
      </c>
      <c r="AB329" s="79">
        <f t="shared" si="399"/>
        <v>240.6757575</v>
      </c>
      <c r="AC329" s="79">
        <f t="shared" si="400"/>
        <v>4.7819087613862274</v>
      </c>
    </row>
    <row r="330" spans="1:29">
      <c r="A330" s="20">
        <v>336</v>
      </c>
      <c r="B330" s="16" t="s">
        <v>164</v>
      </c>
      <c r="C330" s="138">
        <v>50770</v>
      </c>
      <c r="D330" s="102">
        <v>2E-3</v>
      </c>
      <c r="E330" s="152">
        <v>0.01</v>
      </c>
      <c r="F330" s="97">
        <v>-0.01</v>
      </c>
      <c r="G330" s="91">
        <f t="shared" si="389"/>
        <v>-2920.5763000000002</v>
      </c>
      <c r="H330" s="74">
        <v>292057.63</v>
      </c>
      <c r="I330" s="74">
        <v>87318</v>
      </c>
      <c r="J330" s="74">
        <f t="shared" si="390"/>
        <v>207660.20630000002</v>
      </c>
      <c r="K330" s="13">
        <f t="shared" si="401"/>
        <v>27</v>
      </c>
      <c r="L330" s="32">
        <f t="shared" si="391"/>
        <v>26.271000000000001</v>
      </c>
      <c r="M330" s="74">
        <f t="shared" si="392"/>
        <v>7904.5413688097151</v>
      </c>
      <c r="N330" s="88">
        <f t="shared" si="393"/>
        <v>2.7065005522402256E-2</v>
      </c>
      <c r="O330" s="32">
        <v>26.1</v>
      </c>
      <c r="P330" s="13">
        <v>8167</v>
      </c>
      <c r="Q330" s="119">
        <f t="shared" si="394"/>
        <v>-262.4586311902849</v>
      </c>
      <c r="S330" s="13">
        <v>8264</v>
      </c>
      <c r="T330" s="13">
        <f t="shared" si="395"/>
        <v>-359.4586311902849</v>
      </c>
      <c r="W330" s="124">
        <v>0.4200275</v>
      </c>
      <c r="Y330" s="79">
        <f t="shared" si="396"/>
        <v>3320.1247497877225</v>
      </c>
      <c r="Z330" s="79">
        <f t="shared" si="397"/>
        <v>3430.3645925000001</v>
      </c>
      <c r="AA330" s="79">
        <f t="shared" si="398"/>
        <v>-110.23984271227739</v>
      </c>
      <c r="AB330" s="79">
        <f t="shared" si="399"/>
        <v>3471.1072599999998</v>
      </c>
      <c r="AC330" s="79">
        <f t="shared" si="400"/>
        <v>-150.98251021227739</v>
      </c>
    </row>
    <row r="331" spans="1:29">
      <c r="B331" s="33" t="s">
        <v>50</v>
      </c>
      <c r="C331" s="23"/>
      <c r="D331" s="102"/>
      <c r="E331" s="152"/>
      <c r="F331" s="96"/>
      <c r="G331" s="72"/>
      <c r="H331" s="75">
        <f>+SUBTOTAL(9,H323:H330)</f>
        <v>35867509.560000002</v>
      </c>
      <c r="I331" s="75">
        <f>+SUBTOTAL(9,I323:I330)</f>
        <v>8746432</v>
      </c>
      <c r="J331" s="75">
        <f>+SUBTOTAL(9,J323:J330)</f>
        <v>27518672.483200002</v>
      </c>
      <c r="K331" s="13"/>
      <c r="L331" s="13"/>
      <c r="M331" s="75">
        <f>+SUBTOTAL(9,M323:M330)</f>
        <v>1049077.7424053759</v>
      </c>
      <c r="N331" s="27">
        <f>+ROUND(M331/H331*100,2)</f>
        <v>2.92</v>
      </c>
      <c r="O331" s="31"/>
      <c r="P331" s="103">
        <f>+SUBTOTAL(9,P323:P330)</f>
        <v>1070941</v>
      </c>
      <c r="Q331" s="120">
        <f>+SUBTOTAL(9,Q323:Q330)</f>
        <v>-21863.257594624032</v>
      </c>
      <c r="S331" s="103">
        <f>+SUBTOTAL(9,S323:S330)</f>
        <v>1476959</v>
      </c>
      <c r="T331" s="103">
        <f>+SUBTOTAL(9,T323:T330)</f>
        <v>-427881.25759462407</v>
      </c>
      <c r="Y331" s="75">
        <f t="shared" ref="Y331:AC331" si="402">+SUBTOTAL(9,Y323:Y330)</f>
        <v>440641.50144817401</v>
      </c>
      <c r="Z331" s="75">
        <f t="shared" si="402"/>
        <v>449824.67087749997</v>
      </c>
      <c r="AA331" s="75">
        <f t="shared" si="402"/>
        <v>-9183.1694293259443</v>
      </c>
      <c r="AB331" s="75">
        <f t="shared" si="402"/>
        <v>620363.39637249999</v>
      </c>
      <c r="AC331" s="75">
        <f t="shared" si="402"/>
        <v>-179721.89492432596</v>
      </c>
    </row>
    <row r="332" spans="1:29">
      <c r="C332" s="23"/>
      <c r="D332" s="102"/>
      <c r="E332" s="152"/>
      <c r="F332" s="96"/>
      <c r="G332" s="72"/>
      <c r="H332" s="74"/>
      <c r="I332" s="73"/>
      <c r="J332" s="73"/>
      <c r="K332" s="19"/>
      <c r="L332" s="19"/>
      <c r="M332" s="73"/>
      <c r="N332" s="27"/>
      <c r="O332" s="31"/>
      <c r="P332" s="19"/>
      <c r="S332" s="19"/>
      <c r="T332" s="19"/>
    </row>
    <row r="333" spans="1:29">
      <c r="B333" s="55" t="s">
        <v>51</v>
      </c>
      <c r="C333" s="23"/>
      <c r="D333" s="102"/>
      <c r="E333" s="152"/>
      <c r="F333" s="96"/>
      <c r="G333" s="72"/>
      <c r="H333" s="74"/>
      <c r="I333" s="73"/>
      <c r="J333" s="73"/>
      <c r="K333" s="19"/>
      <c r="L333" s="19"/>
      <c r="M333" s="73"/>
      <c r="N333" s="27"/>
      <c r="O333" s="31"/>
      <c r="P333" s="19"/>
      <c r="S333" s="19"/>
      <c r="T333" s="19"/>
    </row>
    <row r="334" spans="1:29">
      <c r="A334" s="20">
        <v>331</v>
      </c>
      <c r="B334" s="15" t="s">
        <v>162</v>
      </c>
      <c r="C334" s="138">
        <v>43465</v>
      </c>
      <c r="D334" s="102">
        <v>2E-3</v>
      </c>
      <c r="E334" s="152">
        <v>2E-3</v>
      </c>
      <c r="F334" s="97">
        <v>0</v>
      </c>
      <c r="G334" s="91">
        <f t="shared" ref="G334:G339" si="403">H334*F334</f>
        <v>0</v>
      </c>
      <c r="H334" s="74">
        <v>333844.78000000003</v>
      </c>
      <c r="I334" s="74">
        <v>219953</v>
      </c>
      <c r="J334" s="74">
        <f t="shared" ref="J334:J339" si="404">H334-G334-I334</f>
        <v>113891.78000000003</v>
      </c>
      <c r="K334" s="13">
        <f>2018-2011</f>
        <v>7</v>
      </c>
      <c r="L334" s="32">
        <f t="shared" ref="L334:L339" si="405">(1-(D334/2)*K334)*K334</f>
        <v>6.9509999999999996</v>
      </c>
      <c r="M334" s="74">
        <f t="shared" ref="M334:M339" si="406">J334/L334</f>
        <v>16384.948928211772</v>
      </c>
      <c r="N334" s="68">
        <f t="shared" ref="N334:N339" si="407">M334/H334</f>
        <v>4.9079542080040221E-2</v>
      </c>
      <c r="O334" s="32">
        <v>6.9</v>
      </c>
      <c r="P334" s="13">
        <v>16880</v>
      </c>
      <c r="Q334" s="119">
        <f t="shared" ref="Q334:Q339" si="408">M334-P334</f>
        <v>-495.051071788228</v>
      </c>
      <c r="S334" s="13">
        <v>18124</v>
      </c>
      <c r="T334" s="13">
        <f t="shared" ref="T334:T339" si="409">M334-S334</f>
        <v>-1739.051071788228</v>
      </c>
      <c r="W334" s="124">
        <v>0.4200275</v>
      </c>
      <c r="Y334" s="79">
        <f t="shared" ref="Y334:Y339" si="410">M334*W334</f>
        <v>6882.1291359444704</v>
      </c>
      <c r="Z334" s="79">
        <f t="shared" ref="Z334:Z339" si="411">P334*W334</f>
        <v>7090.0641999999998</v>
      </c>
      <c r="AA334" s="79">
        <f t="shared" ref="AA334:AA339" si="412">Q334*W334</f>
        <v>-207.93506405552995</v>
      </c>
      <c r="AB334" s="79">
        <f t="shared" ref="AB334:AB339" si="413">S334*W334</f>
        <v>7612.5784100000001</v>
      </c>
      <c r="AC334" s="79">
        <f t="shared" ref="AC334:AC339" si="414">T334*W334</f>
        <v>-730.44927405552994</v>
      </c>
    </row>
    <row r="335" spans="1:29">
      <c r="A335" s="20">
        <v>332</v>
      </c>
      <c r="B335" s="16" t="s">
        <v>163</v>
      </c>
      <c r="C335" s="138">
        <v>43465</v>
      </c>
      <c r="D335" s="102">
        <v>1.5E-3</v>
      </c>
      <c r="E335" s="152">
        <v>1.5E-3</v>
      </c>
      <c r="F335" s="97">
        <v>0</v>
      </c>
      <c r="G335" s="91">
        <f t="shared" si="403"/>
        <v>0</v>
      </c>
      <c r="H335" s="74">
        <v>4227698.95</v>
      </c>
      <c r="I335" s="74">
        <v>3012197</v>
      </c>
      <c r="J335" s="74">
        <f t="shared" si="404"/>
        <v>1215501.9500000002</v>
      </c>
      <c r="K335" s="13">
        <f t="shared" ref="K335:K339" si="415">2018-2011</f>
        <v>7</v>
      </c>
      <c r="L335" s="32">
        <f t="shared" si="405"/>
        <v>6.9632500000000004</v>
      </c>
      <c r="M335" s="74">
        <f t="shared" si="406"/>
        <v>174559.57347502964</v>
      </c>
      <c r="N335" s="68">
        <f t="shared" si="407"/>
        <v>4.1289499451002687E-2</v>
      </c>
      <c r="O335" s="32">
        <v>7</v>
      </c>
      <c r="P335" s="13">
        <v>180670</v>
      </c>
      <c r="Q335" s="119">
        <f t="shared" si="408"/>
        <v>-6110.4265249703603</v>
      </c>
      <c r="S335" s="13">
        <v>174936</v>
      </c>
      <c r="T335" s="13">
        <f t="shared" si="409"/>
        <v>-376.42652497036033</v>
      </c>
      <c r="W335" s="124">
        <v>0.4200275</v>
      </c>
      <c r="Y335" s="79">
        <f t="shared" si="410"/>
        <v>73319.821247783009</v>
      </c>
      <c r="Z335" s="79">
        <f t="shared" si="411"/>
        <v>75886.368424999993</v>
      </c>
      <c r="AA335" s="79">
        <f t="shared" si="412"/>
        <v>-2566.5471772169881</v>
      </c>
      <c r="AB335" s="79">
        <f t="shared" si="413"/>
        <v>73477.930739999996</v>
      </c>
      <c r="AC335" s="79">
        <f t="shared" si="414"/>
        <v>-158.10949221698803</v>
      </c>
    </row>
    <row r="336" spans="1:29">
      <c r="A336" s="20">
        <v>333</v>
      </c>
      <c r="B336" s="16" t="s">
        <v>381</v>
      </c>
      <c r="C336" s="138">
        <v>43465</v>
      </c>
      <c r="D336" s="102">
        <v>4.4999999999999997E-3</v>
      </c>
      <c r="E336" s="152">
        <v>4.4999999999999997E-3</v>
      </c>
      <c r="F336" s="97">
        <v>-0.01</v>
      </c>
      <c r="G336" s="91">
        <f t="shared" si="403"/>
        <v>-18088.189900000001</v>
      </c>
      <c r="H336" s="74">
        <v>1808818.99</v>
      </c>
      <c r="I336" s="74">
        <v>1207312</v>
      </c>
      <c r="J336" s="74">
        <f t="shared" si="404"/>
        <v>619595.1799000001</v>
      </c>
      <c r="K336" s="13">
        <f t="shared" si="415"/>
        <v>7</v>
      </c>
      <c r="L336" s="32">
        <f t="shared" si="405"/>
        <v>6.8897499999999994</v>
      </c>
      <c r="M336" s="74">
        <f t="shared" si="406"/>
        <v>89929.994542617686</v>
      </c>
      <c r="N336" s="68">
        <f t="shared" si="407"/>
        <v>4.9717520127659474E-2</v>
      </c>
      <c r="O336" s="32">
        <v>6.9</v>
      </c>
      <c r="P336" s="13">
        <v>89244</v>
      </c>
      <c r="Q336" s="119">
        <f t="shared" si="408"/>
        <v>685.99454261768551</v>
      </c>
      <c r="S336" s="13">
        <v>85572</v>
      </c>
      <c r="T336" s="13">
        <f t="shared" si="409"/>
        <v>4357.9945426176855</v>
      </c>
      <c r="W336" s="124">
        <v>0.4200275</v>
      </c>
      <c r="Y336" s="79">
        <f t="shared" si="410"/>
        <v>37773.070782749346</v>
      </c>
      <c r="Z336" s="79">
        <f t="shared" si="411"/>
        <v>37484.934209999999</v>
      </c>
      <c r="AA336" s="79">
        <f t="shared" si="412"/>
        <v>288.13657274934991</v>
      </c>
      <c r="AB336" s="79">
        <f t="shared" si="413"/>
        <v>35942.593229999999</v>
      </c>
      <c r="AC336" s="79">
        <f t="shared" si="414"/>
        <v>1830.4775527493498</v>
      </c>
    </row>
    <row r="337" spans="1:29">
      <c r="A337" s="20">
        <v>334</v>
      </c>
      <c r="B337" s="16" t="s">
        <v>13</v>
      </c>
      <c r="C337" s="138">
        <v>43465</v>
      </c>
      <c r="D337" s="102">
        <v>5.0000000000000001E-3</v>
      </c>
      <c r="E337" s="152">
        <v>4.0000000000000001E-3</v>
      </c>
      <c r="F337" s="97">
        <v>0</v>
      </c>
      <c r="G337" s="91">
        <f t="shared" si="403"/>
        <v>0</v>
      </c>
      <c r="H337" s="74">
        <v>477082.18</v>
      </c>
      <c r="I337" s="74">
        <v>315765</v>
      </c>
      <c r="J337" s="74">
        <f t="shared" si="404"/>
        <v>161317.18</v>
      </c>
      <c r="K337" s="13">
        <f t="shared" si="415"/>
        <v>7</v>
      </c>
      <c r="L337" s="32">
        <f t="shared" si="405"/>
        <v>6.8775000000000004</v>
      </c>
      <c r="M337" s="74">
        <f t="shared" si="406"/>
        <v>23455.787713558704</v>
      </c>
      <c r="N337" s="68">
        <f t="shared" si="407"/>
        <v>4.9165088734940181E-2</v>
      </c>
      <c r="O337" s="32">
        <v>6.8</v>
      </c>
      <c r="P337" s="13">
        <v>24459</v>
      </c>
      <c r="Q337" s="119">
        <f t="shared" si="408"/>
        <v>-1003.2122864412959</v>
      </c>
      <c r="S337" s="13">
        <v>24585</v>
      </c>
      <c r="T337" s="13">
        <f t="shared" si="409"/>
        <v>-1129.2122864412959</v>
      </c>
      <c r="W337" s="124">
        <v>0.4200275</v>
      </c>
      <c r="Y337" s="79">
        <f t="shared" si="410"/>
        <v>9852.0758738567783</v>
      </c>
      <c r="Z337" s="79">
        <f t="shared" si="411"/>
        <v>10273.452622499999</v>
      </c>
      <c r="AA337" s="79">
        <f t="shared" si="412"/>
        <v>-421.37674864322139</v>
      </c>
      <c r="AB337" s="79">
        <f t="shared" si="413"/>
        <v>10326.376087500001</v>
      </c>
      <c r="AC337" s="79">
        <f t="shared" si="414"/>
        <v>-474.30021364322141</v>
      </c>
    </row>
    <row r="338" spans="1:29">
      <c r="A338" s="20">
        <v>335</v>
      </c>
      <c r="B338" s="15" t="s">
        <v>378</v>
      </c>
      <c r="C338" s="138">
        <v>43465</v>
      </c>
      <c r="D338" s="102">
        <v>7.0000000000000001E-3</v>
      </c>
      <c r="E338" s="152">
        <v>6.0000000000000001E-3</v>
      </c>
      <c r="F338" s="97">
        <v>0</v>
      </c>
      <c r="G338" s="91">
        <f t="shared" si="403"/>
        <v>0</v>
      </c>
      <c r="H338" s="74">
        <v>71749.509999999995</v>
      </c>
      <c r="I338" s="74">
        <v>50472</v>
      </c>
      <c r="J338" s="74">
        <f t="shared" si="404"/>
        <v>21277.509999999995</v>
      </c>
      <c r="K338" s="13">
        <f t="shared" si="415"/>
        <v>7</v>
      </c>
      <c r="L338" s="32">
        <f t="shared" si="405"/>
        <v>6.8285</v>
      </c>
      <c r="M338" s="74">
        <f t="shared" si="406"/>
        <v>3115.9859412755354</v>
      </c>
      <c r="N338" s="68">
        <f t="shared" si="407"/>
        <v>4.3428672074213963E-2</v>
      </c>
      <c r="O338" s="32">
        <v>6.8</v>
      </c>
      <c r="P338" s="13">
        <v>3113</v>
      </c>
      <c r="Q338" s="119">
        <f t="shared" si="408"/>
        <v>2.9859412755354242</v>
      </c>
      <c r="S338" s="13">
        <v>2989</v>
      </c>
      <c r="T338" s="13">
        <f t="shared" si="409"/>
        <v>126.98594127553542</v>
      </c>
      <c r="W338" s="124">
        <v>0.4200275</v>
      </c>
      <c r="Y338" s="79">
        <f t="shared" si="410"/>
        <v>1308.7997849491101</v>
      </c>
      <c r="Z338" s="79">
        <f t="shared" si="411"/>
        <v>1307.5456075</v>
      </c>
      <c r="AA338" s="79">
        <f t="shared" si="412"/>
        <v>1.2541774491099553</v>
      </c>
      <c r="AB338" s="79">
        <f t="shared" si="413"/>
        <v>1255.4621975</v>
      </c>
      <c r="AC338" s="79">
        <f t="shared" si="414"/>
        <v>53.337587449109954</v>
      </c>
    </row>
    <row r="339" spans="1:29">
      <c r="A339" s="20">
        <v>336</v>
      </c>
      <c r="B339" s="16" t="s">
        <v>164</v>
      </c>
      <c r="C339" s="138">
        <v>43465</v>
      </c>
      <c r="D339" s="102">
        <v>2E-3</v>
      </c>
      <c r="E339" s="152">
        <v>0.01</v>
      </c>
      <c r="F339" s="97">
        <v>0</v>
      </c>
      <c r="G339" s="91">
        <f t="shared" si="403"/>
        <v>0</v>
      </c>
      <c r="H339" s="74">
        <v>59360.36</v>
      </c>
      <c r="I339" s="74">
        <v>46897</v>
      </c>
      <c r="J339" s="74">
        <f t="shared" si="404"/>
        <v>12463.36</v>
      </c>
      <c r="K339" s="13">
        <f t="shared" si="415"/>
        <v>7</v>
      </c>
      <c r="L339" s="32">
        <f t="shared" si="405"/>
        <v>6.9509999999999996</v>
      </c>
      <c r="M339" s="74">
        <f t="shared" si="406"/>
        <v>1793.0312185297082</v>
      </c>
      <c r="N339" s="88">
        <f t="shared" si="407"/>
        <v>3.0205868335867709E-2</v>
      </c>
      <c r="O339" s="32">
        <v>6.9</v>
      </c>
      <c r="P339" s="13">
        <v>1885</v>
      </c>
      <c r="Q339" s="119">
        <f t="shared" si="408"/>
        <v>-91.968781470291788</v>
      </c>
      <c r="S339" s="13">
        <v>1936</v>
      </c>
      <c r="T339" s="13">
        <f t="shared" si="409"/>
        <v>-142.96878147029179</v>
      </c>
      <c r="W339" s="124">
        <v>0.4200275</v>
      </c>
      <c r="Y339" s="79">
        <f t="shared" si="410"/>
        <v>753.12242014098706</v>
      </c>
      <c r="Z339" s="79">
        <f t="shared" si="411"/>
        <v>791.75183749999997</v>
      </c>
      <c r="AA339" s="79">
        <f t="shared" si="412"/>
        <v>-38.629417359012983</v>
      </c>
      <c r="AB339" s="79">
        <f t="shared" si="413"/>
        <v>813.17323999999996</v>
      </c>
      <c r="AC339" s="79">
        <f t="shared" si="414"/>
        <v>-60.050819859012982</v>
      </c>
    </row>
    <row r="340" spans="1:29">
      <c r="B340" s="33" t="s">
        <v>52</v>
      </c>
      <c r="C340" s="23"/>
      <c r="D340" s="102"/>
      <c r="E340" s="152"/>
      <c r="F340" s="96"/>
      <c r="G340" s="72"/>
      <c r="H340" s="75">
        <f>+SUBTOTAL(9,H333:H339)</f>
        <v>6978554.7700000005</v>
      </c>
      <c r="I340" s="75">
        <f>+SUBTOTAL(9,I333:I339)</f>
        <v>4852596</v>
      </c>
      <c r="J340" s="75">
        <f>+SUBTOTAL(9,J333:J339)</f>
        <v>2144046.9599000001</v>
      </c>
      <c r="K340" s="13"/>
      <c r="L340" s="13"/>
      <c r="M340" s="75">
        <f>+SUBTOTAL(9,M333:M339)</f>
        <v>309239.32181922311</v>
      </c>
      <c r="N340" s="27">
        <f>+ROUND(M340/H340*100,2)</f>
        <v>4.43</v>
      </c>
      <c r="O340" s="31"/>
      <c r="P340" s="103">
        <f>+SUBTOTAL(9,P333:P339)</f>
        <v>316251</v>
      </c>
      <c r="Q340" s="120">
        <f>+SUBTOTAL(9,Q333:Q339)</f>
        <v>-7011.6781807769548</v>
      </c>
      <c r="S340" s="103">
        <f>+SUBTOTAL(9,S333:S339)</f>
        <v>308142</v>
      </c>
      <c r="T340" s="103">
        <f>+SUBTOTAL(9,T333:T339)</f>
        <v>1097.3218192230449</v>
      </c>
      <c r="Y340" s="75">
        <f t="shared" ref="Y340:AC340" si="416">+SUBTOTAL(9,Y333:Y339)</f>
        <v>129889.01924542371</v>
      </c>
      <c r="Z340" s="75">
        <f t="shared" si="416"/>
        <v>132834.11690249998</v>
      </c>
      <c r="AA340" s="75">
        <f t="shared" si="416"/>
        <v>-2945.0976570762923</v>
      </c>
      <c r="AB340" s="75">
        <f t="shared" si="416"/>
        <v>129428.11390500001</v>
      </c>
      <c r="AC340" s="75">
        <f t="shared" si="416"/>
        <v>460.90534042370751</v>
      </c>
    </row>
    <row r="341" spans="1:29">
      <c r="C341" s="43"/>
      <c r="E341" s="153"/>
      <c r="F341" s="96"/>
      <c r="G341" s="72"/>
      <c r="I341" s="73"/>
      <c r="J341" s="73"/>
      <c r="K341" s="19"/>
      <c r="L341" s="19"/>
      <c r="M341" s="73"/>
      <c r="N341" s="27"/>
      <c r="O341" s="31"/>
      <c r="P341" s="19"/>
      <c r="S341" s="19"/>
      <c r="T341" s="19"/>
    </row>
    <row r="342" spans="1:29">
      <c r="B342" s="55" t="s">
        <v>53</v>
      </c>
      <c r="C342" s="43"/>
      <c r="E342" s="153"/>
      <c r="F342" s="96"/>
      <c r="G342" s="72"/>
      <c r="I342" s="73"/>
      <c r="J342" s="73"/>
      <c r="K342" s="19"/>
      <c r="L342" s="19"/>
      <c r="M342" s="73"/>
      <c r="N342" s="27"/>
      <c r="O342" s="31"/>
      <c r="P342" s="19"/>
      <c r="S342" s="19"/>
      <c r="T342" s="19"/>
    </row>
    <row r="343" spans="1:29">
      <c r="A343" s="20">
        <v>331</v>
      </c>
      <c r="B343" s="15" t="s">
        <v>162</v>
      </c>
      <c r="C343" s="138">
        <v>44196</v>
      </c>
      <c r="D343" s="102">
        <v>2E-3</v>
      </c>
      <c r="E343" s="152">
        <v>2E-3</v>
      </c>
      <c r="F343" s="97">
        <v>0</v>
      </c>
      <c r="G343" s="91">
        <f t="shared" ref="G343:G348" si="417">H343*F343</f>
        <v>0</v>
      </c>
      <c r="H343" s="74">
        <v>179622.92</v>
      </c>
      <c r="I343" s="74">
        <v>107595</v>
      </c>
      <c r="J343" s="74">
        <f t="shared" ref="J343:J348" si="418">H343-G343-I343</f>
        <v>72027.920000000013</v>
      </c>
      <c r="K343" s="13">
        <f>2020-2011</f>
        <v>9</v>
      </c>
      <c r="L343" s="32">
        <f t="shared" ref="L343:L348" si="419">(1-(D343/2)*K343)*K343</f>
        <v>8.9190000000000005</v>
      </c>
      <c r="M343" s="74">
        <f t="shared" ref="M343:M348" si="420">J343/L343</f>
        <v>8075.7842807489642</v>
      </c>
      <c r="N343" s="68">
        <f t="shared" ref="N343:N348" si="421">M343/H343</f>
        <v>4.495965370537882E-2</v>
      </c>
      <c r="O343" s="32">
        <v>8.9</v>
      </c>
      <c r="P343" s="13">
        <v>8285</v>
      </c>
      <c r="Q343" s="119">
        <f t="shared" ref="Q343:Q348" si="422">M343-P343</f>
        <v>-209.21571925103581</v>
      </c>
      <c r="S343" s="13">
        <v>9019</v>
      </c>
      <c r="T343" s="13">
        <f t="shared" ref="T343:T348" si="423">M343-S343</f>
        <v>-943.21571925103581</v>
      </c>
      <c r="W343" s="124">
        <v>0.4200275</v>
      </c>
      <c r="Y343" s="79">
        <f t="shared" ref="Y343:Y348" si="424">M343*W343</f>
        <v>3392.0514819822856</v>
      </c>
      <c r="Z343" s="79">
        <f t="shared" ref="Z343:Z348" si="425">P343*W343</f>
        <v>3479.9278374999999</v>
      </c>
      <c r="AA343" s="79">
        <f t="shared" ref="AA343:AA348" si="426">Q343*W343</f>
        <v>-87.876355517714444</v>
      </c>
      <c r="AB343" s="79">
        <f t="shared" ref="AB343:AB348" si="427">S343*W343</f>
        <v>3788.2280225</v>
      </c>
      <c r="AC343" s="79">
        <f t="shared" ref="AC343:AC348" si="428">T343*W343</f>
        <v>-396.17654051771444</v>
      </c>
    </row>
    <row r="344" spans="1:29">
      <c r="A344" s="20">
        <v>332</v>
      </c>
      <c r="B344" s="16" t="s">
        <v>163</v>
      </c>
      <c r="C344" s="138">
        <v>44196</v>
      </c>
      <c r="D344" s="102">
        <v>1.5E-3</v>
      </c>
      <c r="E344" s="152">
        <v>1.5E-3</v>
      </c>
      <c r="F344" s="97">
        <v>0</v>
      </c>
      <c r="G344" s="91">
        <f t="shared" si="417"/>
        <v>0</v>
      </c>
      <c r="H344" s="74">
        <v>1139630.56</v>
      </c>
      <c r="I344" s="74">
        <v>693752</v>
      </c>
      <c r="J344" s="74">
        <f t="shared" si="418"/>
        <v>445878.56000000006</v>
      </c>
      <c r="K344" s="13">
        <f t="shared" ref="K344:K348" si="429">2020-2011</f>
        <v>9</v>
      </c>
      <c r="L344" s="32">
        <f t="shared" si="419"/>
        <v>8.9392499999999995</v>
      </c>
      <c r="M344" s="74">
        <f t="shared" si="420"/>
        <v>49878.743742483995</v>
      </c>
      <c r="N344" s="68">
        <f t="shared" si="421"/>
        <v>4.3767467715576172E-2</v>
      </c>
      <c r="O344" s="32">
        <v>8.9</v>
      </c>
      <c r="P344" s="13">
        <v>51216</v>
      </c>
      <c r="Q344" s="119">
        <f t="shared" si="422"/>
        <v>-1337.2562575160046</v>
      </c>
      <c r="S344" s="13">
        <v>55769</v>
      </c>
      <c r="T344" s="13">
        <f t="shared" si="423"/>
        <v>-5890.2562575160046</v>
      </c>
      <c r="W344" s="124">
        <v>0.4200275</v>
      </c>
      <c r="Y344" s="79">
        <f t="shared" si="424"/>
        <v>20950.444037296198</v>
      </c>
      <c r="Z344" s="79">
        <f t="shared" si="425"/>
        <v>21512.12844</v>
      </c>
      <c r="AA344" s="79">
        <f t="shared" si="426"/>
        <v>-561.68440270380358</v>
      </c>
      <c r="AB344" s="79">
        <f t="shared" si="427"/>
        <v>23424.5136475</v>
      </c>
      <c r="AC344" s="79">
        <f t="shared" si="428"/>
        <v>-2474.0696102038037</v>
      </c>
    </row>
    <row r="345" spans="1:29">
      <c r="A345" s="20">
        <v>333</v>
      </c>
      <c r="B345" s="16" t="s">
        <v>381</v>
      </c>
      <c r="C345" s="138">
        <v>44196</v>
      </c>
      <c r="D345" s="102">
        <v>4.4999999999999997E-3</v>
      </c>
      <c r="E345" s="152">
        <v>4.4999999999999997E-3</v>
      </c>
      <c r="F345" s="97">
        <v>-0.01</v>
      </c>
      <c r="G345" s="91">
        <f t="shared" si="417"/>
        <v>-4643.5477000000001</v>
      </c>
      <c r="H345" s="74">
        <v>464354.77</v>
      </c>
      <c r="I345" s="74">
        <v>293532</v>
      </c>
      <c r="J345" s="74">
        <f t="shared" si="418"/>
        <v>175466.31770000001</v>
      </c>
      <c r="K345" s="13">
        <f t="shared" si="429"/>
        <v>9</v>
      </c>
      <c r="L345" s="32">
        <f t="shared" si="419"/>
        <v>8.8177500000000002</v>
      </c>
      <c r="M345" s="74">
        <f t="shared" si="420"/>
        <v>19899.216659578691</v>
      </c>
      <c r="N345" s="68">
        <f t="shared" si="421"/>
        <v>4.2853477438335973E-2</v>
      </c>
      <c r="O345" s="32">
        <v>8.9</v>
      </c>
      <c r="P345" s="13">
        <v>19779</v>
      </c>
      <c r="Q345" s="119">
        <f t="shared" si="422"/>
        <v>120.21665957869118</v>
      </c>
      <c r="S345" s="13">
        <v>20481</v>
      </c>
      <c r="T345" s="13">
        <f t="shared" si="423"/>
        <v>-581.78334042130882</v>
      </c>
      <c r="W345" s="124">
        <v>0.4200275</v>
      </c>
      <c r="Y345" s="79">
        <f t="shared" si="424"/>
        <v>8358.2182254811887</v>
      </c>
      <c r="Z345" s="79">
        <f t="shared" si="425"/>
        <v>8307.7239224999994</v>
      </c>
      <c r="AA345" s="79">
        <f t="shared" si="426"/>
        <v>50.49430298118871</v>
      </c>
      <c r="AB345" s="79">
        <f t="shared" si="427"/>
        <v>8602.5832274999993</v>
      </c>
      <c r="AC345" s="79">
        <f t="shared" si="428"/>
        <v>-244.36500201881128</v>
      </c>
    </row>
    <row r="346" spans="1:29">
      <c r="A346" s="20">
        <v>334</v>
      </c>
      <c r="B346" s="16" t="s">
        <v>13</v>
      </c>
      <c r="C346" s="138">
        <v>44196</v>
      </c>
      <c r="D346" s="102">
        <v>5.0000000000000001E-3</v>
      </c>
      <c r="E346" s="152">
        <v>4.0000000000000001E-3</v>
      </c>
      <c r="F346" s="97">
        <v>0</v>
      </c>
      <c r="G346" s="91">
        <f t="shared" si="417"/>
        <v>0</v>
      </c>
      <c r="H346" s="74">
        <v>692175.17</v>
      </c>
      <c r="I346" s="74">
        <v>386516</v>
      </c>
      <c r="J346" s="74">
        <f t="shared" si="418"/>
        <v>305659.17000000004</v>
      </c>
      <c r="K346" s="13">
        <f t="shared" si="429"/>
        <v>9</v>
      </c>
      <c r="L346" s="32">
        <f t="shared" si="419"/>
        <v>8.7974999999999994</v>
      </c>
      <c r="M346" s="74">
        <f t="shared" si="420"/>
        <v>34743.867007672641</v>
      </c>
      <c r="N346" s="68">
        <f t="shared" si="421"/>
        <v>5.0195194097575967E-2</v>
      </c>
      <c r="O346" s="32">
        <v>8.6999999999999993</v>
      </c>
      <c r="P346" s="13">
        <v>36039</v>
      </c>
      <c r="Q346" s="119">
        <f t="shared" si="422"/>
        <v>-1295.1329923273588</v>
      </c>
      <c r="S346" s="13">
        <v>37186</v>
      </c>
      <c r="T346" s="13">
        <f t="shared" si="423"/>
        <v>-2442.1329923273588</v>
      </c>
      <c r="W346" s="124">
        <v>0.4200275</v>
      </c>
      <c r="Y346" s="79">
        <f t="shared" si="424"/>
        <v>14593.37959956522</v>
      </c>
      <c r="Z346" s="79">
        <f t="shared" si="425"/>
        <v>15137.3710725</v>
      </c>
      <c r="AA346" s="79">
        <f t="shared" si="426"/>
        <v>-543.99147293477972</v>
      </c>
      <c r="AB346" s="79">
        <f t="shared" si="427"/>
        <v>15619.142615000001</v>
      </c>
      <c r="AC346" s="79">
        <f t="shared" si="428"/>
        <v>-1025.7630154347796</v>
      </c>
    </row>
    <row r="347" spans="1:29">
      <c r="A347" s="20">
        <v>335</v>
      </c>
      <c r="B347" s="15" t="s">
        <v>378</v>
      </c>
      <c r="C347" s="138">
        <v>44196</v>
      </c>
      <c r="D347" s="102">
        <v>7.0000000000000001E-3</v>
      </c>
      <c r="E347" s="152">
        <v>6.0000000000000001E-3</v>
      </c>
      <c r="F347" s="97">
        <v>0</v>
      </c>
      <c r="G347" s="91">
        <f t="shared" si="417"/>
        <v>0</v>
      </c>
      <c r="H347" s="74">
        <v>7952.48</v>
      </c>
      <c r="I347" s="74">
        <v>5558</v>
      </c>
      <c r="J347" s="74">
        <f t="shared" si="418"/>
        <v>2394.4799999999996</v>
      </c>
      <c r="K347" s="13">
        <f t="shared" si="429"/>
        <v>9</v>
      </c>
      <c r="L347" s="32">
        <f t="shared" si="419"/>
        <v>8.7164999999999999</v>
      </c>
      <c r="M347" s="74">
        <f t="shared" si="420"/>
        <v>274.70659094820167</v>
      </c>
      <c r="N347" s="68">
        <f t="shared" si="421"/>
        <v>3.4543512331775959E-2</v>
      </c>
      <c r="O347" s="32">
        <v>8.6999999999999993</v>
      </c>
      <c r="P347" s="13">
        <v>284</v>
      </c>
      <c r="Q347" s="119">
        <f t="shared" si="422"/>
        <v>-9.293409051798335</v>
      </c>
      <c r="S347" s="13">
        <v>283</v>
      </c>
      <c r="T347" s="13">
        <f t="shared" si="423"/>
        <v>-8.293409051798335</v>
      </c>
      <c r="W347" s="124">
        <v>0.4200275</v>
      </c>
      <c r="Y347" s="79">
        <f t="shared" si="424"/>
        <v>115.38432262949577</v>
      </c>
      <c r="Z347" s="79">
        <f t="shared" si="425"/>
        <v>119.28780999999999</v>
      </c>
      <c r="AA347" s="79">
        <f t="shared" si="426"/>
        <v>-3.9034873705042252</v>
      </c>
      <c r="AB347" s="79">
        <f t="shared" si="427"/>
        <v>118.8677825</v>
      </c>
      <c r="AC347" s="79">
        <f t="shared" si="428"/>
        <v>-3.483459870504225</v>
      </c>
    </row>
    <row r="348" spans="1:29">
      <c r="A348" s="20">
        <v>336</v>
      </c>
      <c r="B348" s="16" t="s">
        <v>164</v>
      </c>
      <c r="C348" s="138">
        <v>44196</v>
      </c>
      <c r="D348" s="102">
        <v>2E-3</v>
      </c>
      <c r="E348" s="152">
        <v>0.01</v>
      </c>
      <c r="F348" s="97">
        <v>0</v>
      </c>
      <c r="G348" s="91">
        <f t="shared" si="417"/>
        <v>0</v>
      </c>
      <c r="H348" s="74">
        <v>2720.37</v>
      </c>
      <c r="I348" s="74">
        <v>2341</v>
      </c>
      <c r="J348" s="74">
        <f t="shared" si="418"/>
        <v>379.36999999999989</v>
      </c>
      <c r="K348" s="13">
        <f t="shared" si="429"/>
        <v>9</v>
      </c>
      <c r="L348" s="32">
        <f t="shared" si="419"/>
        <v>8.9190000000000005</v>
      </c>
      <c r="M348" s="74">
        <f t="shared" si="420"/>
        <v>42.535037560264591</v>
      </c>
      <c r="N348" s="88">
        <f t="shared" si="421"/>
        <v>1.5635754533487943E-2</v>
      </c>
      <c r="O348" s="32">
        <v>8.6999999999999993</v>
      </c>
      <c r="P348" s="13">
        <v>50</v>
      </c>
      <c r="Q348" s="119">
        <f t="shared" si="422"/>
        <v>-7.4649624397354089</v>
      </c>
      <c r="S348" s="13">
        <v>48</v>
      </c>
      <c r="T348" s="13">
        <f t="shared" si="423"/>
        <v>-5.4649624397354089</v>
      </c>
      <c r="W348" s="124">
        <v>0.4200275</v>
      </c>
      <c r="Y348" s="79">
        <f t="shared" si="424"/>
        <v>17.865885488844036</v>
      </c>
      <c r="Z348" s="79">
        <f t="shared" si="425"/>
        <v>21.001374999999999</v>
      </c>
      <c r="AA348" s="79">
        <f t="shared" si="426"/>
        <v>-3.1354895111559644</v>
      </c>
      <c r="AB348" s="79">
        <f t="shared" si="427"/>
        <v>20.16132</v>
      </c>
      <c r="AC348" s="79">
        <f t="shared" si="428"/>
        <v>-2.2954345111559644</v>
      </c>
    </row>
    <row r="349" spans="1:29">
      <c r="B349" s="33" t="s">
        <v>54</v>
      </c>
      <c r="C349" s="23"/>
      <c r="D349" s="102"/>
      <c r="E349" s="152"/>
      <c r="F349" s="96"/>
      <c r="G349" s="72"/>
      <c r="H349" s="75">
        <f>+SUBTOTAL(9,H342:H348)</f>
        <v>2486456.27</v>
      </c>
      <c r="I349" s="75">
        <f>+SUBTOTAL(9,I342:I348)</f>
        <v>1489294</v>
      </c>
      <c r="J349" s="75">
        <f>+SUBTOTAL(9,J342:J348)</f>
        <v>1001805.8177000001</v>
      </c>
      <c r="K349" s="13"/>
      <c r="L349" s="13"/>
      <c r="M349" s="75">
        <f>+SUBTOTAL(9,M342:M348)</f>
        <v>112914.85331899275</v>
      </c>
      <c r="N349" s="27">
        <f>+ROUND(M349/H349*100,2)</f>
        <v>4.54</v>
      </c>
      <c r="O349" s="31"/>
      <c r="P349" s="103">
        <f>+SUBTOTAL(9,P342:P348)</f>
        <v>115653</v>
      </c>
      <c r="Q349" s="120">
        <f>+SUBTOTAL(9,Q342:Q348)</f>
        <v>-2738.1466810072416</v>
      </c>
      <c r="S349" s="103">
        <f>+SUBTOTAL(9,S342:S348)</f>
        <v>122786</v>
      </c>
      <c r="T349" s="103">
        <f>+SUBTOTAL(9,T342:T348)</f>
        <v>-9871.1466810072416</v>
      </c>
      <c r="Y349" s="75">
        <f t="shared" ref="Y349:AC349" si="430">+SUBTOTAL(9,Y342:Y348)</f>
        <v>47427.343552443235</v>
      </c>
      <c r="Z349" s="75">
        <f t="shared" si="430"/>
        <v>48577.440457500001</v>
      </c>
      <c r="AA349" s="75">
        <f t="shared" si="430"/>
        <v>-1150.0969050567692</v>
      </c>
      <c r="AB349" s="75">
        <f t="shared" si="430"/>
        <v>51573.496615000004</v>
      </c>
      <c r="AC349" s="75">
        <f t="shared" si="430"/>
        <v>-4146.1530625567684</v>
      </c>
    </row>
    <row r="350" spans="1:29">
      <c r="C350" s="43"/>
      <c r="E350" s="153"/>
      <c r="F350" s="96"/>
      <c r="G350" s="72"/>
      <c r="I350" s="73"/>
      <c r="J350" s="73"/>
      <c r="K350" s="19"/>
      <c r="L350" s="19"/>
      <c r="M350" s="73"/>
      <c r="N350" s="27"/>
      <c r="O350" s="31"/>
      <c r="P350" s="19"/>
      <c r="S350" s="19"/>
      <c r="T350" s="19"/>
    </row>
    <row r="351" spans="1:29">
      <c r="B351" s="55" t="s">
        <v>55</v>
      </c>
      <c r="C351" s="43"/>
      <c r="E351" s="153"/>
      <c r="F351" s="96"/>
      <c r="G351" s="72"/>
      <c r="I351" s="73"/>
      <c r="J351" s="73"/>
      <c r="K351" s="19"/>
      <c r="L351" s="19"/>
      <c r="M351" s="73"/>
      <c r="N351" s="27"/>
      <c r="O351" s="31"/>
      <c r="P351" s="19"/>
      <c r="S351" s="19"/>
      <c r="T351" s="19"/>
    </row>
    <row r="352" spans="1:29">
      <c r="A352" s="20">
        <v>331</v>
      </c>
      <c r="B352" s="15" t="s">
        <v>162</v>
      </c>
      <c r="C352" s="138">
        <v>47848</v>
      </c>
      <c r="D352" s="102">
        <v>2E-3</v>
      </c>
      <c r="E352" s="152">
        <v>2E-3</v>
      </c>
      <c r="F352" s="97">
        <v>-0.01</v>
      </c>
      <c r="G352" s="91">
        <f t="shared" ref="G352:G356" si="431">H352*F352</f>
        <v>-1810.2120000000002</v>
      </c>
      <c r="H352" s="74">
        <v>181021.2</v>
      </c>
      <c r="I352" s="74">
        <v>107359</v>
      </c>
      <c r="J352" s="74">
        <f t="shared" ref="J352:J356" si="432">H352-G352-I352</f>
        <v>75472.412000000011</v>
      </c>
      <c r="K352" s="13">
        <f>2030-2011</f>
        <v>19</v>
      </c>
      <c r="L352" s="32">
        <f>(1-(D352/2)*K352)*K352</f>
        <v>18.638999999999999</v>
      </c>
      <c r="M352" s="74">
        <f>J352/L352</f>
        <v>4049.1663715864593</v>
      </c>
      <c r="N352" s="68">
        <f>M352/H352</f>
        <v>2.2368464973088562E-2</v>
      </c>
      <c r="O352" s="32">
        <v>18.5</v>
      </c>
      <c r="P352" s="13">
        <v>4266</v>
      </c>
      <c r="Q352" s="119">
        <f t="shared" ref="Q352:Q356" si="433">M352-P352</f>
        <v>-216.83362841354074</v>
      </c>
      <c r="S352" s="13">
        <v>4274</v>
      </c>
      <c r="T352" s="13">
        <f t="shared" ref="T352:T356" si="434">M352-S352</f>
        <v>-224.83362841354074</v>
      </c>
      <c r="W352" s="124">
        <v>0.4200275</v>
      </c>
      <c r="Y352" s="79">
        <f t="shared" ref="Y352:Y356" si="435">M352*W352</f>
        <v>1700.7612281415315</v>
      </c>
      <c r="Z352" s="79">
        <f t="shared" ref="Z352:Z356" si="436">P352*W352</f>
        <v>1791.837315</v>
      </c>
      <c r="AA352" s="79">
        <f t="shared" ref="AA352:AA356" si="437">Q352*W352</f>
        <v>-91.076086858468486</v>
      </c>
      <c r="AB352" s="79">
        <f t="shared" ref="AB352:AB356" si="438">S352*W352</f>
        <v>1795.197535</v>
      </c>
      <c r="AC352" s="79">
        <f t="shared" ref="AC352:AC356" si="439">T352*W352</f>
        <v>-94.436306858468484</v>
      </c>
    </row>
    <row r="353" spans="1:29">
      <c r="A353" s="20">
        <v>332</v>
      </c>
      <c r="B353" s="16" t="s">
        <v>163</v>
      </c>
      <c r="C353" s="138">
        <v>47848</v>
      </c>
      <c r="D353" s="102">
        <v>1.5E-3</v>
      </c>
      <c r="E353" s="152">
        <v>1.5E-3</v>
      </c>
      <c r="F353" s="97">
        <v>-0.01</v>
      </c>
      <c r="G353" s="91">
        <f t="shared" si="431"/>
        <v>-7414.9691000000003</v>
      </c>
      <c r="H353" s="74">
        <v>741496.91</v>
      </c>
      <c r="I353" s="74">
        <v>286792</v>
      </c>
      <c r="J353" s="74">
        <f t="shared" si="432"/>
        <v>462119.87910000002</v>
      </c>
      <c r="K353" s="13">
        <f t="shared" ref="K353:K356" si="440">2030-2011</f>
        <v>19</v>
      </c>
      <c r="L353" s="32">
        <f>(1-(D353/2)*K353)*K353</f>
        <v>18.72925</v>
      </c>
      <c r="M353" s="74">
        <f>J353/L353</f>
        <v>24673.699112351002</v>
      </c>
      <c r="N353" s="68">
        <f>M353/H353</f>
        <v>3.3275525197200083E-2</v>
      </c>
      <c r="O353" s="32">
        <v>18.7</v>
      </c>
      <c r="P353" s="13">
        <v>25054</v>
      </c>
      <c r="Q353" s="119">
        <f t="shared" si="433"/>
        <v>-380.30088764899847</v>
      </c>
      <c r="S353" s="13">
        <v>26247</v>
      </c>
      <c r="T353" s="13">
        <f t="shared" si="434"/>
        <v>-1573.3008876489985</v>
      </c>
      <c r="W353" s="124">
        <v>0.4200275</v>
      </c>
      <c r="Y353" s="79">
        <f t="shared" si="435"/>
        <v>10363.632153913009</v>
      </c>
      <c r="Z353" s="79">
        <f t="shared" si="436"/>
        <v>10523.368984999999</v>
      </c>
      <c r="AA353" s="79">
        <f t="shared" si="437"/>
        <v>-159.7368310869897</v>
      </c>
      <c r="AB353" s="79">
        <f t="shared" si="438"/>
        <v>11024.4617925</v>
      </c>
      <c r="AC353" s="79">
        <f t="shared" si="439"/>
        <v>-660.82963858698974</v>
      </c>
    </row>
    <row r="354" spans="1:29">
      <c r="A354" s="20">
        <v>333</v>
      </c>
      <c r="B354" s="16" t="s">
        <v>381</v>
      </c>
      <c r="C354" s="138">
        <v>47848</v>
      </c>
      <c r="D354" s="102">
        <v>4.4999999999999997E-3</v>
      </c>
      <c r="E354" s="152">
        <v>4.4999999999999997E-3</v>
      </c>
      <c r="F354" s="97">
        <v>-0.02</v>
      </c>
      <c r="G354" s="91">
        <f t="shared" si="431"/>
        <v>-10363.4164</v>
      </c>
      <c r="H354" s="74">
        <v>518170.82</v>
      </c>
      <c r="I354" s="74">
        <v>289650</v>
      </c>
      <c r="J354" s="74">
        <f t="shared" si="432"/>
        <v>238884.23640000005</v>
      </c>
      <c r="K354" s="13">
        <f t="shared" si="440"/>
        <v>19</v>
      </c>
      <c r="L354" s="32">
        <f>(1-(D354/2)*K354)*K354</f>
        <v>18.187750000000001</v>
      </c>
      <c r="M354" s="74">
        <f>J354/L354</f>
        <v>13134.347920990778</v>
      </c>
      <c r="N354" s="68">
        <f>M354/H354</f>
        <v>2.5347525206052279E-2</v>
      </c>
      <c r="O354" s="32">
        <v>18.399999999999999</v>
      </c>
      <c r="P354" s="13">
        <v>13290</v>
      </c>
      <c r="Q354" s="119">
        <f t="shared" si="433"/>
        <v>-155.65207900922178</v>
      </c>
      <c r="S354" s="13">
        <v>12983</v>
      </c>
      <c r="T354" s="13">
        <f t="shared" si="434"/>
        <v>151.34792099077822</v>
      </c>
      <c r="W354" s="124">
        <v>0.4200275</v>
      </c>
      <c r="Y354" s="79">
        <f t="shared" si="435"/>
        <v>5516.7873213839539</v>
      </c>
      <c r="Z354" s="79">
        <f t="shared" si="436"/>
        <v>5582.1654749999998</v>
      </c>
      <c r="AA354" s="79">
        <f t="shared" si="437"/>
        <v>-65.378153616045907</v>
      </c>
      <c r="AB354" s="79">
        <f t="shared" si="438"/>
        <v>5453.2170324999997</v>
      </c>
      <c r="AC354" s="79">
        <f t="shared" si="439"/>
        <v>63.570288883954099</v>
      </c>
    </row>
    <row r="355" spans="1:29">
      <c r="A355" s="20">
        <v>334</v>
      </c>
      <c r="B355" s="16" t="s">
        <v>13</v>
      </c>
      <c r="C355" s="138">
        <v>47848</v>
      </c>
      <c r="D355" s="102">
        <v>5.0000000000000001E-3</v>
      </c>
      <c r="E355" s="152">
        <v>4.0000000000000001E-3</v>
      </c>
      <c r="F355" s="97">
        <v>-0.01</v>
      </c>
      <c r="G355" s="91">
        <f t="shared" si="431"/>
        <v>-1780.3145999999999</v>
      </c>
      <c r="H355" s="74">
        <v>178031.46</v>
      </c>
      <c r="I355" s="74">
        <v>95941</v>
      </c>
      <c r="J355" s="74">
        <f t="shared" si="432"/>
        <v>83870.774600000004</v>
      </c>
      <c r="K355" s="13">
        <f t="shared" si="440"/>
        <v>19</v>
      </c>
      <c r="L355" s="32">
        <f>(1-(D355/2)*K355)*K355</f>
        <v>18.0975</v>
      </c>
      <c r="M355" s="74">
        <f>J355/L355</f>
        <v>4634.384561403509</v>
      </c>
      <c r="N355" s="68">
        <f>M355/H355</f>
        <v>2.6031267515322906E-2</v>
      </c>
      <c r="O355" s="32">
        <v>17.3</v>
      </c>
      <c r="P355" s="13">
        <v>5148</v>
      </c>
      <c r="Q355" s="119">
        <f t="shared" si="433"/>
        <v>-513.615438596491</v>
      </c>
      <c r="S355" s="13">
        <v>4949</v>
      </c>
      <c r="T355" s="13">
        <f t="shared" si="434"/>
        <v>-314.615438596491</v>
      </c>
      <c r="W355" s="124">
        <v>0.4200275</v>
      </c>
      <c r="Y355" s="79">
        <f t="shared" si="435"/>
        <v>1946.5689613649124</v>
      </c>
      <c r="Z355" s="79">
        <f t="shared" si="436"/>
        <v>2162.3015700000001</v>
      </c>
      <c r="AA355" s="79">
        <f t="shared" si="437"/>
        <v>-215.73260863508762</v>
      </c>
      <c r="AB355" s="79">
        <f t="shared" si="438"/>
        <v>2078.7160975000002</v>
      </c>
      <c r="AC355" s="79">
        <f t="shared" si="439"/>
        <v>-132.14713613508764</v>
      </c>
    </row>
    <row r="356" spans="1:29">
      <c r="A356" s="20">
        <v>336</v>
      </c>
      <c r="B356" s="16" t="s">
        <v>164</v>
      </c>
      <c r="C356" s="138">
        <v>47848</v>
      </c>
      <c r="D356" s="102">
        <v>2E-3</v>
      </c>
      <c r="E356" s="152">
        <v>0.01</v>
      </c>
      <c r="F356" s="97">
        <v>-0.01</v>
      </c>
      <c r="G356" s="91">
        <f t="shared" si="431"/>
        <v>-55.092600000000004</v>
      </c>
      <c r="H356" s="74">
        <v>5509.26</v>
      </c>
      <c r="I356" s="74">
        <v>150</v>
      </c>
      <c r="J356" s="74">
        <f t="shared" si="432"/>
        <v>5414.3526000000002</v>
      </c>
      <c r="K356" s="13">
        <f t="shared" si="440"/>
        <v>19</v>
      </c>
      <c r="L356" s="32">
        <f>(1-(D356/2)*K356)*K356</f>
        <v>18.638999999999999</v>
      </c>
      <c r="M356" s="74">
        <f>J356/L356</f>
        <v>290.48514405279258</v>
      </c>
      <c r="N356" s="88">
        <f>M356/H356</f>
        <v>5.27267081337226E-2</v>
      </c>
      <c r="O356" s="32">
        <v>18.7</v>
      </c>
      <c r="P356" s="13">
        <v>289</v>
      </c>
      <c r="Q356" s="119">
        <f t="shared" si="433"/>
        <v>1.4851440527925774</v>
      </c>
      <c r="S356" s="13">
        <v>279</v>
      </c>
      <c r="T356" s="13">
        <f t="shared" si="434"/>
        <v>11.485144052792577</v>
      </c>
      <c r="W356" s="124">
        <v>0.4200275</v>
      </c>
      <c r="Y356" s="79">
        <f t="shared" si="435"/>
        <v>122.01174884363434</v>
      </c>
      <c r="Z356" s="79">
        <f t="shared" si="436"/>
        <v>121.3879475</v>
      </c>
      <c r="AA356" s="79">
        <f t="shared" si="437"/>
        <v>0.62380134363433437</v>
      </c>
      <c r="AB356" s="79">
        <f t="shared" si="438"/>
        <v>117.18767250000001</v>
      </c>
      <c r="AC356" s="79">
        <f t="shared" si="439"/>
        <v>4.8240763436343341</v>
      </c>
    </row>
    <row r="357" spans="1:29">
      <c r="B357" s="33" t="s">
        <v>56</v>
      </c>
      <c r="C357" s="23"/>
      <c r="D357" s="102"/>
      <c r="E357" s="152"/>
      <c r="F357" s="96"/>
      <c r="G357" s="72"/>
      <c r="H357" s="75">
        <f>+SUBTOTAL(9,H350:H356)</f>
        <v>1624229.6500000001</v>
      </c>
      <c r="I357" s="75">
        <f>+SUBTOTAL(9,I350:I356)</f>
        <v>779892</v>
      </c>
      <c r="J357" s="75">
        <f>+SUBTOTAL(9,J350:J356)</f>
        <v>865761.65470000007</v>
      </c>
      <c r="K357" s="13"/>
      <c r="L357" s="13"/>
      <c r="M357" s="75">
        <f>+SUBTOTAL(9,M350:M356)</f>
        <v>46782.083110384541</v>
      </c>
      <c r="N357" s="27">
        <f>+ROUND(M357/H357*100,2)</f>
        <v>2.88</v>
      </c>
      <c r="O357" s="31"/>
      <c r="P357" s="103">
        <f>+SUBTOTAL(9,P350:P356)</f>
        <v>48047</v>
      </c>
      <c r="Q357" s="120">
        <f>+SUBTOTAL(9,Q350:Q356)</f>
        <v>-1264.9168896154595</v>
      </c>
      <c r="S357" s="103">
        <f>+SUBTOTAL(9,S350:S356)</f>
        <v>48732</v>
      </c>
      <c r="T357" s="103">
        <f>+SUBTOTAL(9,T350:T356)</f>
        <v>-1949.9168896154595</v>
      </c>
      <c r="Y357" s="75">
        <f t="shared" ref="Y357:AC357" si="441">+SUBTOTAL(9,Y350:Y356)</f>
        <v>19649.76141364704</v>
      </c>
      <c r="Z357" s="75">
        <f t="shared" si="441"/>
        <v>20181.061292499999</v>
      </c>
      <c r="AA357" s="75">
        <f t="shared" si="441"/>
        <v>-531.29987885295736</v>
      </c>
      <c r="AB357" s="75">
        <f t="shared" si="441"/>
        <v>20468.780129999999</v>
      </c>
      <c r="AC357" s="75">
        <f t="shared" si="441"/>
        <v>-819.01871635295743</v>
      </c>
    </row>
    <row r="358" spans="1:29">
      <c r="C358" s="43"/>
      <c r="E358" s="153"/>
      <c r="F358" s="96"/>
      <c r="G358" s="72"/>
      <c r="I358" s="73"/>
      <c r="J358" s="73"/>
      <c r="K358" s="19"/>
      <c r="L358" s="19"/>
      <c r="M358" s="73"/>
      <c r="N358" s="27"/>
      <c r="O358" s="31"/>
      <c r="P358" s="19"/>
      <c r="S358" s="19"/>
      <c r="T358" s="19"/>
    </row>
    <row r="359" spans="1:29">
      <c r="B359" s="55" t="s">
        <v>57</v>
      </c>
      <c r="C359" s="43"/>
      <c r="E359" s="153"/>
      <c r="F359" s="96"/>
      <c r="G359" s="72"/>
      <c r="I359" s="73"/>
      <c r="J359" s="73"/>
      <c r="K359" s="19"/>
      <c r="L359" s="19"/>
      <c r="M359" s="73"/>
      <c r="N359" s="27"/>
      <c r="O359" s="31"/>
      <c r="P359" s="19"/>
      <c r="S359" s="19"/>
      <c r="T359" s="19"/>
    </row>
    <row r="360" spans="1:29">
      <c r="A360" s="20">
        <v>330.2</v>
      </c>
      <c r="B360" s="16" t="s">
        <v>10</v>
      </c>
      <c r="C360" s="138">
        <v>58075</v>
      </c>
      <c r="D360" s="102"/>
      <c r="E360" s="152"/>
      <c r="F360" s="97">
        <v>0</v>
      </c>
      <c r="G360" s="91">
        <f t="shared" ref="G360:G367" si="442">H360*F360</f>
        <v>0</v>
      </c>
      <c r="H360" s="74">
        <v>6277412.5899999999</v>
      </c>
      <c r="I360" s="74">
        <v>3726097</v>
      </c>
      <c r="J360" s="74">
        <f t="shared" ref="J360:J367" si="443">H360-G360-I360</f>
        <v>2551315.59</v>
      </c>
      <c r="K360" s="13">
        <f>2058-2011</f>
        <v>47</v>
      </c>
      <c r="L360" s="32">
        <f t="shared" ref="L360:L367" si="444">(1-(D360/2)*K360)*K360</f>
        <v>47</v>
      </c>
      <c r="M360" s="74">
        <f t="shared" ref="M360:M367" si="445">J360/L360</f>
        <v>54283.310425531912</v>
      </c>
      <c r="N360" s="68">
        <f t="shared" ref="N360:N367" si="446">M360/H360</f>
        <v>8.6474020382228713E-3</v>
      </c>
      <c r="O360" s="32">
        <v>47</v>
      </c>
      <c r="P360" s="13">
        <v>54283</v>
      </c>
      <c r="Q360" s="119">
        <f t="shared" ref="Q360:Q367" si="447">M360-P360</f>
        <v>0.31042553191218758</v>
      </c>
      <c r="S360" s="13">
        <v>53705</v>
      </c>
      <c r="T360" s="13">
        <f t="shared" ref="T360:T367" si="448">M360-S360</f>
        <v>578.31042553191219</v>
      </c>
      <c r="W360" s="124">
        <v>0.4200275</v>
      </c>
      <c r="Y360" s="79">
        <f t="shared" ref="Y360:Y367" si="449">M360*W360</f>
        <v>22800.483169760104</v>
      </c>
      <c r="Z360" s="79">
        <f t="shared" ref="Z360:Z367" si="450">P360*W360</f>
        <v>22800.352782499998</v>
      </c>
      <c r="AA360" s="79">
        <f t="shared" ref="AA360:AA367" si="451">Q360*W360</f>
        <v>0.13038726010524637</v>
      </c>
      <c r="AB360" s="79">
        <f t="shared" ref="AB360:AB367" si="452">S360*W360</f>
        <v>22557.576887499999</v>
      </c>
      <c r="AC360" s="79">
        <f t="shared" ref="AC360:AC367" si="453">T360*W360</f>
        <v>242.90628226010526</v>
      </c>
    </row>
    <row r="361" spans="1:29">
      <c r="A361" s="20">
        <v>330.5</v>
      </c>
      <c r="B361" s="16" t="s">
        <v>17</v>
      </c>
      <c r="C361" s="138">
        <v>58075</v>
      </c>
      <c r="D361" s="102"/>
      <c r="E361" s="152"/>
      <c r="F361" s="97">
        <v>0</v>
      </c>
      <c r="G361" s="91">
        <f t="shared" si="442"/>
        <v>0</v>
      </c>
      <c r="H361" s="74">
        <v>97228.11</v>
      </c>
      <c r="I361" s="74">
        <v>56819</v>
      </c>
      <c r="J361" s="74">
        <f t="shared" si="443"/>
        <v>40409.11</v>
      </c>
      <c r="K361" s="13">
        <f t="shared" ref="K361:K367" si="454">2058-2011</f>
        <v>47</v>
      </c>
      <c r="L361" s="32">
        <f t="shared" si="444"/>
        <v>47</v>
      </c>
      <c r="M361" s="74">
        <f t="shared" si="445"/>
        <v>859.76829787234044</v>
      </c>
      <c r="N361" s="68">
        <f t="shared" si="446"/>
        <v>8.8427955441316344E-3</v>
      </c>
      <c r="O361" s="32">
        <v>47</v>
      </c>
      <c r="P361" s="13">
        <v>860</v>
      </c>
      <c r="Q361" s="119">
        <f t="shared" si="447"/>
        <v>-0.23170212765955966</v>
      </c>
      <c r="S361" s="13">
        <v>851</v>
      </c>
      <c r="T361" s="13">
        <f t="shared" si="448"/>
        <v>8.7682978723404403</v>
      </c>
      <c r="W361" s="124">
        <v>0.4200275</v>
      </c>
      <c r="Y361" s="79">
        <f t="shared" si="449"/>
        <v>361.12632873457449</v>
      </c>
      <c r="Z361" s="79">
        <f t="shared" si="450"/>
        <v>361.22365000000002</v>
      </c>
      <c r="AA361" s="79">
        <f t="shared" si="451"/>
        <v>-9.7321265425525702E-2</v>
      </c>
      <c r="AB361" s="79">
        <f t="shared" si="452"/>
        <v>357.44340249999999</v>
      </c>
      <c r="AC361" s="79">
        <f t="shared" si="453"/>
        <v>3.6829262345744742</v>
      </c>
    </row>
    <row r="362" spans="1:29">
      <c r="A362" s="20">
        <v>331</v>
      </c>
      <c r="B362" s="15" t="s">
        <v>162</v>
      </c>
      <c r="C362" s="138">
        <v>58075</v>
      </c>
      <c r="D362" s="102">
        <v>2E-3</v>
      </c>
      <c r="E362" s="152">
        <v>2E-3</v>
      </c>
      <c r="F362" s="97">
        <v>-0.02</v>
      </c>
      <c r="G362" s="91">
        <f t="shared" si="442"/>
        <v>-638669.42180000001</v>
      </c>
      <c r="H362" s="74">
        <v>31933471.09</v>
      </c>
      <c r="I362" s="74">
        <v>3282966</v>
      </c>
      <c r="J362" s="74">
        <f t="shared" si="443"/>
        <v>29289174.511799999</v>
      </c>
      <c r="K362" s="13">
        <f t="shared" si="454"/>
        <v>47</v>
      </c>
      <c r="L362" s="32">
        <f t="shared" si="444"/>
        <v>44.790999999999997</v>
      </c>
      <c r="M362" s="74">
        <f t="shared" si="445"/>
        <v>653907.58214373421</v>
      </c>
      <c r="N362" s="68">
        <f t="shared" si="446"/>
        <v>2.0477184591076478E-2</v>
      </c>
      <c r="O362" s="32">
        <v>44.7</v>
      </c>
      <c r="P362" s="13">
        <v>676497</v>
      </c>
      <c r="Q362" s="119">
        <f t="shared" si="447"/>
        <v>-22589.417856265791</v>
      </c>
      <c r="S362" s="13">
        <v>1564703</v>
      </c>
      <c r="T362" s="13">
        <f t="shared" si="448"/>
        <v>-910795.41785626579</v>
      </c>
      <c r="W362" s="124">
        <v>0.4200275</v>
      </c>
      <c r="Y362" s="79">
        <f t="shared" si="449"/>
        <v>274659.16695887729</v>
      </c>
      <c r="Z362" s="79">
        <f t="shared" si="450"/>
        <v>284147.34366750001</v>
      </c>
      <c r="AA362" s="79">
        <f t="shared" si="451"/>
        <v>-9488.1767086226791</v>
      </c>
      <c r="AB362" s="79">
        <f t="shared" si="452"/>
        <v>657218.28933249996</v>
      </c>
      <c r="AC362" s="79">
        <f t="shared" si="453"/>
        <v>-382559.12237362267</v>
      </c>
    </row>
    <row r="363" spans="1:29">
      <c r="A363" s="20">
        <v>332</v>
      </c>
      <c r="B363" s="16" t="s">
        <v>163</v>
      </c>
      <c r="C363" s="138">
        <v>58075</v>
      </c>
      <c r="D363" s="102">
        <v>1.5E-3</v>
      </c>
      <c r="E363" s="152">
        <v>1.5E-3</v>
      </c>
      <c r="F363" s="97">
        <v>-0.01</v>
      </c>
      <c r="G363" s="91">
        <f t="shared" si="442"/>
        <v>-427156.36799999996</v>
      </c>
      <c r="H363" s="74">
        <v>42715636.799999997</v>
      </c>
      <c r="I363" s="74">
        <v>23841615</v>
      </c>
      <c r="J363" s="74">
        <f t="shared" si="443"/>
        <v>19301178.167999998</v>
      </c>
      <c r="K363" s="13">
        <f t="shared" si="454"/>
        <v>47</v>
      </c>
      <c r="L363" s="32">
        <f t="shared" si="444"/>
        <v>45.343249999999998</v>
      </c>
      <c r="M363" s="74">
        <f t="shared" si="445"/>
        <v>425668.16820585198</v>
      </c>
      <c r="N363" s="68">
        <f t="shared" si="446"/>
        <v>9.9651603041500721E-3</v>
      </c>
      <c r="O363" s="32">
        <v>43</v>
      </c>
      <c r="P363" s="13">
        <v>517861</v>
      </c>
      <c r="Q363" s="119">
        <f t="shared" si="447"/>
        <v>-92192.83179414802</v>
      </c>
      <c r="S363" s="13">
        <v>717022</v>
      </c>
      <c r="T363" s="13">
        <f t="shared" si="448"/>
        <v>-291353.83179414802</v>
      </c>
      <c r="W363" s="124">
        <v>0.4200275</v>
      </c>
      <c r="Y363" s="79">
        <f t="shared" si="449"/>
        <v>178792.33652108349</v>
      </c>
      <c r="Z363" s="79">
        <f t="shared" si="450"/>
        <v>217515.86117749999</v>
      </c>
      <c r="AA363" s="79">
        <f t="shared" si="451"/>
        <v>-38723.524656416506</v>
      </c>
      <c r="AB363" s="79">
        <f t="shared" si="452"/>
        <v>301168.95810500003</v>
      </c>
      <c r="AC363" s="79">
        <f t="shared" si="453"/>
        <v>-122376.62158391651</v>
      </c>
    </row>
    <row r="364" spans="1:29">
      <c r="A364" s="20">
        <v>333</v>
      </c>
      <c r="B364" s="16" t="s">
        <v>381</v>
      </c>
      <c r="C364" s="138">
        <v>58075</v>
      </c>
      <c r="D364" s="102">
        <v>4.4999999999999997E-3</v>
      </c>
      <c r="E364" s="152">
        <v>4.4999999999999997E-3</v>
      </c>
      <c r="F364" s="97">
        <v>-0.04</v>
      </c>
      <c r="G364" s="91">
        <f t="shared" si="442"/>
        <v>-477530.97960000002</v>
      </c>
      <c r="H364" s="74">
        <v>11938274.49</v>
      </c>
      <c r="I364" s="74">
        <v>6436592</v>
      </c>
      <c r="J364" s="74">
        <f t="shared" si="443"/>
        <v>5979213.4695999995</v>
      </c>
      <c r="K364" s="13">
        <f t="shared" si="454"/>
        <v>47</v>
      </c>
      <c r="L364" s="32">
        <f t="shared" si="444"/>
        <v>42.02975</v>
      </c>
      <c r="M364" s="74">
        <f t="shared" si="445"/>
        <v>142261.45693467127</v>
      </c>
      <c r="N364" s="68">
        <f t="shared" si="446"/>
        <v>1.1916416987550037E-2</v>
      </c>
      <c r="O364" s="32">
        <v>38.6</v>
      </c>
      <c r="P364" s="13">
        <v>192152</v>
      </c>
      <c r="Q364" s="119">
        <f t="shared" si="447"/>
        <v>-49890.543065328733</v>
      </c>
      <c r="S364" s="13">
        <v>192004</v>
      </c>
      <c r="T364" s="13">
        <f t="shared" si="448"/>
        <v>-49742.543065328733</v>
      </c>
      <c r="W364" s="124">
        <v>0.4200275</v>
      </c>
      <c r="Y364" s="79">
        <f t="shared" si="449"/>
        <v>59753.724102627639</v>
      </c>
      <c r="Z364" s="79">
        <f t="shared" si="450"/>
        <v>80709.124179999999</v>
      </c>
      <c r="AA364" s="79">
        <f t="shared" si="451"/>
        <v>-20955.400077372364</v>
      </c>
      <c r="AB364" s="79">
        <f t="shared" si="452"/>
        <v>80646.96011</v>
      </c>
      <c r="AC364" s="79">
        <f t="shared" si="453"/>
        <v>-20893.236007372365</v>
      </c>
    </row>
    <row r="365" spans="1:29">
      <c r="A365" s="20">
        <v>334</v>
      </c>
      <c r="B365" s="16" t="s">
        <v>13</v>
      </c>
      <c r="C365" s="138">
        <v>58075</v>
      </c>
      <c r="D365" s="102">
        <v>5.0000000000000001E-3</v>
      </c>
      <c r="E365" s="152">
        <v>4.0000000000000001E-3</v>
      </c>
      <c r="F365" s="97">
        <v>-0.02</v>
      </c>
      <c r="G365" s="91">
        <f t="shared" si="442"/>
        <v>-88686.720799999996</v>
      </c>
      <c r="H365" s="74">
        <v>4434336.04</v>
      </c>
      <c r="I365" s="74">
        <v>998085</v>
      </c>
      <c r="J365" s="74">
        <f t="shared" si="443"/>
        <v>3524937.7608000003</v>
      </c>
      <c r="K365" s="13">
        <f t="shared" si="454"/>
        <v>47</v>
      </c>
      <c r="L365" s="32">
        <f t="shared" si="444"/>
        <v>41.477499999999999</v>
      </c>
      <c r="M365" s="74">
        <f t="shared" si="445"/>
        <v>84984.335140738956</v>
      </c>
      <c r="N365" s="68">
        <f t="shared" si="446"/>
        <v>1.9165064256325273E-2</v>
      </c>
      <c r="O365" s="32">
        <v>37.4</v>
      </c>
      <c r="P365" s="13">
        <v>101343</v>
      </c>
      <c r="Q365" s="119">
        <f t="shared" si="447"/>
        <v>-16358.664859261044</v>
      </c>
      <c r="S365" s="13">
        <v>100223</v>
      </c>
      <c r="T365" s="13">
        <f t="shared" si="448"/>
        <v>-15238.664859261044</v>
      </c>
      <c r="W365" s="124">
        <v>0.4200275</v>
      </c>
      <c r="Y365" s="79">
        <f t="shared" si="449"/>
        <v>35695.757828326728</v>
      </c>
      <c r="Z365" s="79">
        <f t="shared" si="450"/>
        <v>42566.846932499997</v>
      </c>
      <c r="AA365" s="79">
        <f t="shared" si="451"/>
        <v>-6871.0891041732675</v>
      </c>
      <c r="AB365" s="79">
        <f t="shared" si="452"/>
        <v>42096.416132500002</v>
      </c>
      <c r="AC365" s="79">
        <f t="shared" si="453"/>
        <v>-6400.6583041732683</v>
      </c>
    </row>
    <row r="366" spans="1:29">
      <c r="A366" s="20">
        <v>335</v>
      </c>
      <c r="B366" s="15" t="s">
        <v>378</v>
      </c>
      <c r="C366" s="138">
        <v>58075</v>
      </c>
      <c r="D366" s="102">
        <v>7.0000000000000001E-3</v>
      </c>
      <c r="E366" s="152">
        <v>6.0000000000000001E-3</v>
      </c>
      <c r="F366" s="97">
        <v>-0.02</v>
      </c>
      <c r="G366" s="91">
        <f t="shared" si="442"/>
        <v>-8345.622800000001</v>
      </c>
      <c r="H366" s="74">
        <v>417281.14</v>
      </c>
      <c r="I366" s="74">
        <v>223040</v>
      </c>
      <c r="J366" s="74">
        <f t="shared" si="443"/>
        <v>202586.76280000003</v>
      </c>
      <c r="K366" s="13">
        <f t="shared" si="454"/>
        <v>47</v>
      </c>
      <c r="L366" s="32">
        <f t="shared" si="444"/>
        <v>39.268500000000003</v>
      </c>
      <c r="M366" s="74">
        <f t="shared" si="445"/>
        <v>5159.0145485567318</v>
      </c>
      <c r="N366" s="68">
        <f t="shared" si="446"/>
        <v>1.2363402162284957E-2</v>
      </c>
      <c r="O366" s="32">
        <v>35.5</v>
      </c>
      <c r="P366" s="13">
        <v>6056</v>
      </c>
      <c r="Q366" s="119">
        <f t="shared" si="447"/>
        <v>-896.98545144326818</v>
      </c>
      <c r="S366" s="13">
        <v>5991</v>
      </c>
      <c r="T366" s="13">
        <f t="shared" si="448"/>
        <v>-831.98545144326818</v>
      </c>
      <c r="W366" s="124">
        <v>0.4200275</v>
      </c>
      <c r="Y366" s="79">
        <f t="shared" si="449"/>
        <v>2166.9279832939128</v>
      </c>
      <c r="Z366" s="79">
        <f t="shared" si="450"/>
        <v>2543.6865400000002</v>
      </c>
      <c r="AA366" s="79">
        <f t="shared" si="451"/>
        <v>-376.75855670608735</v>
      </c>
      <c r="AB366" s="79">
        <f t="shared" si="452"/>
        <v>2516.3847525000001</v>
      </c>
      <c r="AC366" s="79">
        <f t="shared" si="453"/>
        <v>-349.4567692060873</v>
      </c>
    </row>
    <row r="367" spans="1:29">
      <c r="A367" s="20">
        <v>336</v>
      </c>
      <c r="B367" s="16" t="s">
        <v>164</v>
      </c>
      <c r="C367" s="138">
        <v>58075</v>
      </c>
      <c r="D367" s="102">
        <v>2E-3</v>
      </c>
      <c r="E367" s="152">
        <v>0.01</v>
      </c>
      <c r="F367" s="97">
        <v>-0.02</v>
      </c>
      <c r="G367" s="91">
        <f t="shared" si="442"/>
        <v>-20241.5874</v>
      </c>
      <c r="H367" s="74">
        <v>1012079.37</v>
      </c>
      <c r="I367" s="74">
        <v>174838</v>
      </c>
      <c r="J367" s="74">
        <f t="shared" si="443"/>
        <v>857482.95739999996</v>
      </c>
      <c r="K367" s="13">
        <f t="shared" si="454"/>
        <v>47</v>
      </c>
      <c r="L367" s="32">
        <f t="shared" si="444"/>
        <v>44.790999999999997</v>
      </c>
      <c r="M367" s="74">
        <f t="shared" si="445"/>
        <v>19144.090495858545</v>
      </c>
      <c r="N367" s="88">
        <f t="shared" si="446"/>
        <v>1.8915601941237616E-2</v>
      </c>
      <c r="O367" s="32">
        <v>44.6</v>
      </c>
      <c r="P367" s="13">
        <v>19920</v>
      </c>
      <c r="Q367" s="119">
        <f t="shared" si="447"/>
        <v>-775.90950414145482</v>
      </c>
      <c r="S367" s="13">
        <v>19983</v>
      </c>
      <c r="T367" s="13">
        <f t="shared" si="448"/>
        <v>-838.90950414145482</v>
      </c>
      <c r="W367" s="124">
        <v>0.4200275</v>
      </c>
      <c r="Y367" s="79">
        <f t="shared" si="449"/>
        <v>8041.0444707492252</v>
      </c>
      <c r="Z367" s="79">
        <f t="shared" si="450"/>
        <v>8366.9477999999999</v>
      </c>
      <c r="AA367" s="79">
        <f t="shared" si="451"/>
        <v>-325.9033292507749</v>
      </c>
      <c r="AB367" s="79">
        <f t="shared" si="452"/>
        <v>8393.4095324999998</v>
      </c>
      <c r="AC367" s="79">
        <f t="shared" si="453"/>
        <v>-352.36506175077488</v>
      </c>
    </row>
    <row r="368" spans="1:29">
      <c r="B368" s="33" t="s">
        <v>58</v>
      </c>
      <c r="C368" s="23"/>
      <c r="D368" s="102"/>
      <c r="E368" s="152"/>
      <c r="F368" s="96"/>
      <c r="G368" s="72"/>
      <c r="H368" s="75">
        <f>+SUBTOTAL(9,H360:H367)</f>
        <v>98825719.63000001</v>
      </c>
      <c r="I368" s="75">
        <f>+SUBTOTAL(9,I360:I367)</f>
        <v>38740052</v>
      </c>
      <c r="J368" s="75">
        <f>+SUBTOTAL(9,J360:J367)</f>
        <v>61746298.33039999</v>
      </c>
      <c r="K368" s="13"/>
      <c r="L368" s="13"/>
      <c r="M368" s="75">
        <f>+SUBTOTAL(9,M360:M367)</f>
        <v>1386267.7261928159</v>
      </c>
      <c r="N368" s="27">
        <f>+ROUND(M368/H368*100,2)</f>
        <v>1.4</v>
      </c>
      <c r="O368" s="31"/>
      <c r="P368" s="103">
        <f>+SUBTOTAL(9,P360:P367)</f>
        <v>1568972</v>
      </c>
      <c r="Q368" s="120">
        <f>+SUBTOTAL(9,Q360:Q367)</f>
        <v>-182704.27380718404</v>
      </c>
      <c r="S368" s="103">
        <f>+SUBTOTAL(9,S360:S367)</f>
        <v>2654482</v>
      </c>
      <c r="T368" s="103">
        <f>+SUBTOTAL(9,T360:T367)</f>
        <v>-1268214.2738071841</v>
      </c>
      <c r="Y368" s="75">
        <f t="shared" ref="Y368:AC368" si="455">+SUBTOTAL(9,Y360:Y367)</f>
        <v>582270.56736345298</v>
      </c>
      <c r="Z368" s="75">
        <f t="shared" si="455"/>
        <v>659011.38673000003</v>
      </c>
      <c r="AA368" s="75">
        <f t="shared" si="455"/>
        <v>-76740.819366547003</v>
      </c>
      <c r="AB368" s="75">
        <f t="shared" si="455"/>
        <v>1114955.4382550002</v>
      </c>
      <c r="AC368" s="75">
        <f t="shared" si="455"/>
        <v>-532684.87089154695</v>
      </c>
    </row>
    <row r="369" spans="1:29">
      <c r="C369" s="43"/>
      <c r="E369" s="153"/>
      <c r="F369" s="96"/>
      <c r="G369" s="72"/>
      <c r="I369" s="73"/>
      <c r="J369" s="73"/>
      <c r="K369" s="19"/>
      <c r="L369" s="19"/>
      <c r="M369" s="73"/>
      <c r="N369" s="27"/>
      <c r="O369" s="31"/>
      <c r="P369" s="19"/>
      <c r="S369" s="19"/>
      <c r="T369" s="19"/>
    </row>
    <row r="370" spans="1:29">
      <c r="B370" s="55" t="s">
        <v>59</v>
      </c>
      <c r="C370" s="43"/>
      <c r="E370" s="153"/>
      <c r="F370" s="96"/>
      <c r="G370" s="72"/>
      <c r="I370" s="73"/>
      <c r="J370" s="73"/>
      <c r="K370" s="19"/>
      <c r="L370" s="19"/>
      <c r="M370" s="73"/>
      <c r="N370" s="27"/>
      <c r="O370" s="31"/>
      <c r="P370" s="19"/>
      <c r="S370" s="19"/>
      <c r="T370" s="19"/>
    </row>
    <row r="371" spans="1:29">
      <c r="A371" s="20">
        <v>331</v>
      </c>
      <c r="B371" s="15" t="s">
        <v>162</v>
      </c>
      <c r="C371" s="138">
        <v>51501</v>
      </c>
      <c r="D371" s="102">
        <v>2E-3</v>
      </c>
      <c r="E371" s="152">
        <v>2E-3</v>
      </c>
      <c r="F371" s="97">
        <v>-0.01</v>
      </c>
      <c r="G371" s="91">
        <f t="shared" ref="G371:G375" si="456">H371*F371</f>
        <v>-4032.2492999999999</v>
      </c>
      <c r="H371" s="74">
        <v>403224.93</v>
      </c>
      <c r="I371" s="74">
        <v>175574</v>
      </c>
      <c r="J371" s="74">
        <f t="shared" ref="J371:J375" si="457">H371-G371-I371</f>
        <v>231683.17930000002</v>
      </c>
      <c r="K371" s="13">
        <f>2040-2011</f>
        <v>29</v>
      </c>
      <c r="L371" s="32">
        <f>(1-(D371/2)*K371)*K371</f>
        <v>28.158999999999999</v>
      </c>
      <c r="M371" s="74">
        <f>J371/L371</f>
        <v>8227.6778046095405</v>
      </c>
      <c r="N371" s="68">
        <f>M371/H371</f>
        <v>2.0404685307055644E-2</v>
      </c>
      <c r="O371" s="32">
        <v>27.9</v>
      </c>
      <c r="P371" s="13">
        <v>8580</v>
      </c>
      <c r="Q371" s="119">
        <f t="shared" ref="Q371:Q375" si="458">M371-P371</f>
        <v>-352.32219539045946</v>
      </c>
      <c r="S371" s="13">
        <v>8615</v>
      </c>
      <c r="T371" s="13">
        <f t="shared" ref="T371:T375" si="459">M371-S371</f>
        <v>-387.32219539045946</v>
      </c>
      <c r="W371" s="124">
        <v>0.4200275</v>
      </c>
      <c r="Y371" s="79">
        <f t="shared" ref="Y371:Y375" si="460">M371*W371</f>
        <v>3455.850939075634</v>
      </c>
      <c r="Z371" s="79">
        <f t="shared" ref="Z371:Z375" si="461">P371*W371</f>
        <v>3603.8359500000001</v>
      </c>
      <c r="AA371" s="79">
        <f t="shared" ref="AA371:AA375" si="462">Q371*W371</f>
        <v>-147.98501092436621</v>
      </c>
      <c r="AB371" s="79">
        <f t="shared" ref="AB371:AB375" si="463">S371*W371</f>
        <v>3618.5369125000002</v>
      </c>
      <c r="AC371" s="79">
        <f t="shared" ref="AC371:AC375" si="464">T371*W371</f>
        <v>-162.68597342436621</v>
      </c>
    </row>
    <row r="372" spans="1:29">
      <c r="A372" s="20">
        <v>332</v>
      </c>
      <c r="B372" s="16" t="s">
        <v>163</v>
      </c>
      <c r="C372" s="138">
        <v>51501</v>
      </c>
      <c r="D372" s="102">
        <v>1.5E-3</v>
      </c>
      <c r="E372" s="152">
        <v>1.5E-3</v>
      </c>
      <c r="F372" s="97">
        <v>-0.01</v>
      </c>
      <c r="G372" s="91">
        <f t="shared" si="456"/>
        <v>-1035.0699</v>
      </c>
      <c r="H372" s="74">
        <v>103506.99</v>
      </c>
      <c r="I372" s="74">
        <v>46360</v>
      </c>
      <c r="J372" s="74">
        <f t="shared" si="457"/>
        <v>58182.059900000007</v>
      </c>
      <c r="K372" s="13">
        <f t="shared" ref="K372:K375" si="465">2040-2011</f>
        <v>29</v>
      </c>
      <c r="L372" s="32">
        <f>(1-(D372/2)*K372)*K372</f>
        <v>28.369249999999997</v>
      </c>
      <c r="M372" s="74">
        <f>J372/L372</f>
        <v>2050.8846691400022</v>
      </c>
      <c r="N372" s="68">
        <f>M372/H372</f>
        <v>1.9813972651895318E-2</v>
      </c>
      <c r="O372" s="32">
        <v>28.2</v>
      </c>
      <c r="P372" s="13">
        <v>2101</v>
      </c>
      <c r="Q372" s="119">
        <f t="shared" si="458"/>
        <v>-50.115330859997812</v>
      </c>
      <c r="S372" s="13">
        <v>2101</v>
      </c>
      <c r="T372" s="13">
        <f t="shared" si="459"/>
        <v>-50.115330859997812</v>
      </c>
      <c r="W372" s="124">
        <v>0.4200275</v>
      </c>
      <c r="Y372" s="79">
        <f t="shared" si="460"/>
        <v>861.42796036720222</v>
      </c>
      <c r="Z372" s="79">
        <f t="shared" si="461"/>
        <v>882.4777775</v>
      </c>
      <c r="AA372" s="79">
        <f t="shared" si="462"/>
        <v>-21.049817132797731</v>
      </c>
      <c r="AB372" s="79">
        <f t="shared" si="463"/>
        <v>882.4777775</v>
      </c>
      <c r="AC372" s="79">
        <f t="shared" si="464"/>
        <v>-21.049817132797731</v>
      </c>
    </row>
    <row r="373" spans="1:29">
      <c r="A373" s="20">
        <v>333</v>
      </c>
      <c r="B373" s="16" t="s">
        <v>381</v>
      </c>
      <c r="C373" s="138">
        <v>51501</v>
      </c>
      <c r="D373" s="102">
        <v>4.4999999999999997E-3</v>
      </c>
      <c r="E373" s="152">
        <v>4.4999999999999997E-3</v>
      </c>
      <c r="F373" s="97">
        <v>-0.03</v>
      </c>
      <c r="G373" s="91">
        <f t="shared" si="456"/>
        <v>-14923.138499999999</v>
      </c>
      <c r="H373" s="74">
        <v>497437.95</v>
      </c>
      <c r="I373" s="74">
        <v>232298</v>
      </c>
      <c r="J373" s="74">
        <f t="shared" si="457"/>
        <v>280063.08850000001</v>
      </c>
      <c r="K373" s="13">
        <f t="shared" si="465"/>
        <v>29</v>
      </c>
      <c r="L373" s="32">
        <f>(1-(D373/2)*K373)*K373</f>
        <v>27.107749999999999</v>
      </c>
      <c r="M373" s="74">
        <f>J373/L373</f>
        <v>10331.476736357685</v>
      </c>
      <c r="N373" s="68">
        <f>M373/H373</f>
        <v>2.0769377841714096E-2</v>
      </c>
      <c r="O373" s="32">
        <v>26.9</v>
      </c>
      <c r="P373" s="13">
        <v>11159</v>
      </c>
      <c r="Q373" s="119">
        <f t="shared" si="458"/>
        <v>-827.52326364231521</v>
      </c>
      <c r="S373" s="13">
        <v>11188</v>
      </c>
      <c r="T373" s="13">
        <f t="shared" si="459"/>
        <v>-856.52326364231521</v>
      </c>
      <c r="W373" s="124">
        <v>0.4200275</v>
      </c>
      <c r="Y373" s="79">
        <f t="shared" si="460"/>
        <v>4339.5043448804772</v>
      </c>
      <c r="Z373" s="79">
        <f t="shared" si="461"/>
        <v>4687.0868725</v>
      </c>
      <c r="AA373" s="79">
        <f t="shared" si="462"/>
        <v>-347.58252761952258</v>
      </c>
      <c r="AB373" s="79">
        <f t="shared" si="463"/>
        <v>4699.2676700000002</v>
      </c>
      <c r="AC373" s="79">
        <f t="shared" si="464"/>
        <v>-359.76332511952256</v>
      </c>
    </row>
    <row r="374" spans="1:29">
      <c r="A374" s="20">
        <v>334</v>
      </c>
      <c r="B374" s="16" t="s">
        <v>13</v>
      </c>
      <c r="C374" s="138">
        <v>51501</v>
      </c>
      <c r="D374" s="102">
        <v>5.0000000000000001E-3</v>
      </c>
      <c r="E374" s="152">
        <v>4.0000000000000001E-3</v>
      </c>
      <c r="F374" s="97">
        <v>-0.01</v>
      </c>
      <c r="G374" s="91">
        <f t="shared" si="456"/>
        <v>-1697.2182</v>
      </c>
      <c r="H374" s="74">
        <v>169721.82</v>
      </c>
      <c r="I374" s="74">
        <v>71684</v>
      </c>
      <c r="J374" s="74">
        <f t="shared" si="457"/>
        <v>99735.03820000001</v>
      </c>
      <c r="K374" s="13">
        <f t="shared" si="465"/>
        <v>29</v>
      </c>
      <c r="L374" s="32">
        <f>(1-(D374/2)*K374)*K374</f>
        <v>26.897500000000001</v>
      </c>
      <c r="M374" s="74">
        <f>J374/L374</f>
        <v>3707.9668445022776</v>
      </c>
      <c r="N374" s="68">
        <f>M374/H374</f>
        <v>2.1847319599225822E-2</v>
      </c>
      <c r="O374" s="32">
        <v>24.7</v>
      </c>
      <c r="P374" s="13">
        <v>4376</v>
      </c>
      <c r="Q374" s="119">
        <f t="shared" si="458"/>
        <v>-668.03315549772242</v>
      </c>
      <c r="S374" s="13">
        <v>4368</v>
      </c>
      <c r="T374" s="13">
        <f t="shared" si="459"/>
        <v>-660.03315549772242</v>
      </c>
      <c r="W374" s="124">
        <v>0.4200275</v>
      </c>
      <c r="Y374" s="79">
        <f t="shared" si="460"/>
        <v>1557.4480437791804</v>
      </c>
      <c r="Z374" s="79">
        <f t="shared" si="461"/>
        <v>1838.04034</v>
      </c>
      <c r="AA374" s="79">
        <f t="shared" si="462"/>
        <v>-280.59229622081961</v>
      </c>
      <c r="AB374" s="79">
        <f t="shared" si="463"/>
        <v>1834.68012</v>
      </c>
      <c r="AC374" s="79">
        <f t="shared" si="464"/>
        <v>-277.23207622081958</v>
      </c>
    </row>
    <row r="375" spans="1:29">
      <c r="A375" s="20">
        <v>335</v>
      </c>
      <c r="B375" s="15" t="s">
        <v>378</v>
      </c>
      <c r="C375" s="138">
        <v>51501</v>
      </c>
      <c r="D375" s="102">
        <v>7.0000000000000001E-3</v>
      </c>
      <c r="E375" s="152">
        <v>6.0000000000000001E-3</v>
      </c>
      <c r="F375" s="97">
        <v>-0.01</v>
      </c>
      <c r="G375" s="91">
        <f t="shared" si="456"/>
        <v>-205.9426</v>
      </c>
      <c r="H375" s="74">
        <v>20594.259999999998</v>
      </c>
      <c r="I375" s="74">
        <v>8858</v>
      </c>
      <c r="J375" s="74">
        <f t="shared" si="457"/>
        <v>11942.202599999997</v>
      </c>
      <c r="K375" s="13">
        <f t="shared" si="465"/>
        <v>29</v>
      </c>
      <c r="L375" s="32">
        <f>(1-(D375/2)*K375)*K375</f>
        <v>26.0565</v>
      </c>
      <c r="M375" s="74">
        <f>J375/L375</f>
        <v>458.31952104081506</v>
      </c>
      <c r="N375" s="88">
        <f>M375/H375</f>
        <v>2.2254721511761777E-2</v>
      </c>
      <c r="O375" s="32">
        <v>26</v>
      </c>
      <c r="P375" s="13">
        <v>468</v>
      </c>
      <c r="Q375" s="119">
        <f t="shared" si="458"/>
        <v>-9.6804789591849385</v>
      </c>
      <c r="S375" s="13">
        <v>466</v>
      </c>
      <c r="T375" s="13">
        <f t="shared" si="459"/>
        <v>-7.6804789591849385</v>
      </c>
      <c r="W375" s="124">
        <v>0.4200275</v>
      </c>
      <c r="Y375" s="79">
        <f t="shared" si="460"/>
        <v>192.50680262397094</v>
      </c>
      <c r="Z375" s="79">
        <f t="shared" si="461"/>
        <v>196.57286999999999</v>
      </c>
      <c r="AA375" s="79">
        <f t="shared" si="462"/>
        <v>-4.0660673760290518</v>
      </c>
      <c r="AB375" s="79">
        <f t="shared" si="463"/>
        <v>195.73281499999999</v>
      </c>
      <c r="AC375" s="79">
        <f t="shared" si="464"/>
        <v>-3.2260123760290518</v>
      </c>
    </row>
    <row r="376" spans="1:29">
      <c r="B376" s="33" t="s">
        <v>60</v>
      </c>
      <c r="C376" s="23"/>
      <c r="D376" s="102"/>
      <c r="E376" s="152"/>
      <c r="F376" s="96"/>
      <c r="G376" s="72"/>
      <c r="H376" s="75">
        <f>+SUBTOTAL(9,H369:H375)</f>
        <v>1194485.95</v>
      </c>
      <c r="I376" s="75">
        <f>+SUBTOTAL(9,I369:I375)</f>
        <v>534774</v>
      </c>
      <c r="J376" s="75">
        <f>+SUBTOTAL(9,J369:J375)</f>
        <v>681605.56850000005</v>
      </c>
      <c r="K376" s="13"/>
      <c r="L376" s="13"/>
      <c r="M376" s="75">
        <f>+SUBTOTAL(9,M369:M375)</f>
        <v>24776.32557565032</v>
      </c>
      <c r="N376" s="27">
        <f>+ROUND(M376/H376*100,2)</f>
        <v>2.0699999999999998</v>
      </c>
      <c r="O376" s="31"/>
      <c r="P376" s="103">
        <f>+SUBTOTAL(9,P369:P375)</f>
        <v>26684</v>
      </c>
      <c r="Q376" s="120">
        <f>+SUBTOTAL(9,Q369:Q375)</f>
        <v>-1907.6744243496798</v>
      </c>
      <c r="S376" s="103">
        <f>+SUBTOTAL(9,S369:S375)</f>
        <v>26738</v>
      </c>
      <c r="T376" s="103">
        <f>+SUBTOTAL(9,T369:T375)</f>
        <v>-1961.6744243496798</v>
      </c>
      <c r="Y376" s="75">
        <f t="shared" ref="Y376:AC376" si="466">+SUBTOTAL(9,Y369:Y375)</f>
        <v>10406.738090726465</v>
      </c>
      <c r="Z376" s="75">
        <f t="shared" si="466"/>
        <v>11208.01381</v>
      </c>
      <c r="AA376" s="75">
        <f t="shared" si="466"/>
        <v>-801.27571927353517</v>
      </c>
      <c r="AB376" s="75">
        <f t="shared" si="466"/>
        <v>11230.695295000001</v>
      </c>
      <c r="AC376" s="75">
        <f t="shared" si="466"/>
        <v>-823.95720427353513</v>
      </c>
    </row>
    <row r="377" spans="1:29">
      <c r="C377" s="43"/>
      <c r="E377" s="153"/>
      <c r="F377" s="96"/>
      <c r="G377" s="72"/>
      <c r="I377" s="73"/>
      <c r="J377" s="73"/>
      <c r="K377" s="19"/>
      <c r="L377" s="19"/>
      <c r="M377" s="73"/>
      <c r="N377" s="27"/>
      <c r="O377" s="31"/>
      <c r="P377" s="19"/>
      <c r="S377" s="19"/>
      <c r="T377" s="19"/>
    </row>
    <row r="378" spans="1:29">
      <c r="B378" s="55" t="s">
        <v>61</v>
      </c>
      <c r="C378" s="43"/>
      <c r="E378" s="153"/>
      <c r="F378" s="96"/>
      <c r="G378" s="72"/>
      <c r="I378" s="73"/>
      <c r="J378" s="73"/>
      <c r="K378" s="19"/>
      <c r="L378" s="19"/>
      <c r="M378" s="73"/>
      <c r="N378" s="27"/>
      <c r="O378" s="31"/>
      <c r="P378" s="19"/>
      <c r="S378" s="19"/>
      <c r="T378" s="19"/>
    </row>
    <row r="379" spans="1:29">
      <c r="A379" s="20">
        <v>331</v>
      </c>
      <c r="B379" s="15" t="s">
        <v>162</v>
      </c>
      <c r="C379" s="138">
        <v>42735</v>
      </c>
      <c r="D379" s="102">
        <v>2E-3</v>
      </c>
      <c r="E379" s="152">
        <v>2E-3</v>
      </c>
      <c r="F379" s="97">
        <v>0</v>
      </c>
      <c r="G379" s="91">
        <f t="shared" ref="G379:G383" si="467">H379*F379</f>
        <v>0</v>
      </c>
      <c r="H379" s="74">
        <v>112225.05</v>
      </c>
      <c r="I379" s="74">
        <v>88911</v>
      </c>
      <c r="J379" s="74">
        <f t="shared" ref="J379:J383" si="468">H379-G379-I379</f>
        <v>23314.050000000003</v>
      </c>
      <c r="K379" s="13">
        <f>2016-2011</f>
        <v>5</v>
      </c>
      <c r="L379" s="32">
        <f>(1-(D379/2)*K379)*K379</f>
        <v>4.9749999999999996</v>
      </c>
      <c r="M379" s="74">
        <f>J379/L379</f>
        <v>4686.2412060301513</v>
      </c>
      <c r="N379" s="68">
        <f>M379/H379</f>
        <v>4.1757532797090768E-2</v>
      </c>
      <c r="O379" s="32">
        <v>5</v>
      </c>
      <c r="P379" s="13">
        <v>4692</v>
      </c>
      <c r="Q379" s="119">
        <f t="shared" ref="Q379:Q383" si="469">M379-P379</f>
        <v>-5.7587939698487389</v>
      </c>
      <c r="S379" s="13">
        <v>4925</v>
      </c>
      <c r="T379" s="13">
        <f t="shared" ref="T379:T383" si="470">M379-S379</f>
        <v>-238.75879396984874</v>
      </c>
      <c r="W379" s="124">
        <v>0.4200275</v>
      </c>
      <c r="Y379" s="79">
        <f t="shared" ref="Y379:Y383" si="471">M379*W379</f>
        <v>1968.3501781658294</v>
      </c>
      <c r="Z379" s="79">
        <f t="shared" ref="Z379:Z383" si="472">P379*W379</f>
        <v>1970.7690299999999</v>
      </c>
      <c r="AA379" s="79">
        <f t="shared" ref="AA379:AA383" si="473">Q379*W379</f>
        <v>-2.4188518341706411</v>
      </c>
      <c r="AB379" s="79">
        <f t="shared" ref="AB379:AB383" si="474">S379*W379</f>
        <v>2068.6354375000001</v>
      </c>
      <c r="AC379" s="79">
        <f t="shared" ref="AC379:AC383" si="475">T379*W379</f>
        <v>-100.28525933417065</v>
      </c>
    </row>
    <row r="380" spans="1:29">
      <c r="A380" s="20">
        <v>332</v>
      </c>
      <c r="B380" s="16" t="s">
        <v>163</v>
      </c>
      <c r="C380" s="138">
        <v>42735</v>
      </c>
      <c r="D380" s="102">
        <v>1.5E-3</v>
      </c>
      <c r="E380" s="152">
        <v>1.5E-3</v>
      </c>
      <c r="F380" s="97">
        <v>0</v>
      </c>
      <c r="G380" s="91">
        <f t="shared" si="467"/>
        <v>0</v>
      </c>
      <c r="H380" s="74">
        <v>909447.61</v>
      </c>
      <c r="I380" s="74">
        <v>719140</v>
      </c>
      <c r="J380" s="74">
        <f t="shared" si="468"/>
        <v>190307.61</v>
      </c>
      <c r="K380" s="13">
        <f t="shared" ref="K380:K383" si="476">2016-2011</f>
        <v>5</v>
      </c>
      <c r="L380" s="32">
        <f>(1-(D380/2)*K380)*K380</f>
        <v>4.9812500000000002</v>
      </c>
      <c r="M380" s="74">
        <f>J380/L380</f>
        <v>38204.789962358838</v>
      </c>
      <c r="N380" s="68">
        <f>M380/H380</f>
        <v>4.2008785929250878E-2</v>
      </c>
      <c r="O380" s="32">
        <v>5</v>
      </c>
      <c r="P380" s="13">
        <v>38211</v>
      </c>
      <c r="Q380" s="119">
        <f t="shared" si="469"/>
        <v>-6.2100376411617617</v>
      </c>
      <c r="S380" s="13">
        <v>39745</v>
      </c>
      <c r="T380" s="13">
        <f t="shared" si="470"/>
        <v>-1540.2100376411618</v>
      </c>
      <c r="W380" s="124">
        <v>0.4200275</v>
      </c>
      <c r="Y380" s="79">
        <f t="shared" si="471"/>
        <v>16047.062415914677</v>
      </c>
      <c r="Z380" s="79">
        <f t="shared" si="472"/>
        <v>16049.670802500001</v>
      </c>
      <c r="AA380" s="79">
        <f t="shared" si="473"/>
        <v>-2.6083865853230717</v>
      </c>
      <c r="AB380" s="79">
        <f t="shared" si="474"/>
        <v>16693.992987500002</v>
      </c>
      <c r="AC380" s="79">
        <f t="shared" si="475"/>
        <v>-646.93057158532304</v>
      </c>
    </row>
    <row r="381" spans="1:29">
      <c r="A381" s="20">
        <v>333</v>
      </c>
      <c r="B381" s="16" t="s">
        <v>381</v>
      </c>
      <c r="C381" s="138">
        <v>42735</v>
      </c>
      <c r="D381" s="102">
        <v>4.4999999999999997E-3</v>
      </c>
      <c r="E381" s="152">
        <v>4.4999999999999997E-3</v>
      </c>
      <c r="F381" s="97">
        <v>0</v>
      </c>
      <c r="G381" s="91">
        <f t="shared" si="467"/>
        <v>0</v>
      </c>
      <c r="H381" s="74">
        <v>105583.87</v>
      </c>
      <c r="I381" s="74">
        <v>72452</v>
      </c>
      <c r="J381" s="74">
        <f t="shared" si="468"/>
        <v>33131.869999999995</v>
      </c>
      <c r="K381" s="13">
        <f t="shared" si="476"/>
        <v>5</v>
      </c>
      <c r="L381" s="32">
        <f>(1-(D381/2)*K381)*K381</f>
        <v>4.9437499999999996</v>
      </c>
      <c r="M381" s="74">
        <f>J381/L381</f>
        <v>6701.7689001264216</v>
      </c>
      <c r="N381" s="68">
        <f>M381/H381</f>
        <v>6.3473415968996236E-2</v>
      </c>
      <c r="O381" s="32">
        <v>5</v>
      </c>
      <c r="P381" s="13">
        <v>6874</v>
      </c>
      <c r="Q381" s="119">
        <f t="shared" si="469"/>
        <v>-172.23109987357839</v>
      </c>
      <c r="S381" s="13">
        <v>9506</v>
      </c>
      <c r="T381" s="13">
        <f t="shared" si="470"/>
        <v>-2804.2310998735784</v>
      </c>
      <c r="W381" s="124">
        <v>0.4200275</v>
      </c>
      <c r="Y381" s="79">
        <f t="shared" si="471"/>
        <v>2814.9272366978507</v>
      </c>
      <c r="Z381" s="79">
        <f t="shared" si="472"/>
        <v>2887.2690349999998</v>
      </c>
      <c r="AA381" s="79">
        <f t="shared" si="473"/>
        <v>-72.341798302149442</v>
      </c>
      <c r="AB381" s="79">
        <f t="shared" si="474"/>
        <v>3992.7814149999999</v>
      </c>
      <c r="AC381" s="79">
        <f t="shared" si="475"/>
        <v>-1177.8541783021494</v>
      </c>
    </row>
    <row r="382" spans="1:29">
      <c r="A382" s="20">
        <v>334</v>
      </c>
      <c r="B382" s="16" t="s">
        <v>13</v>
      </c>
      <c r="C382" s="138">
        <v>42735</v>
      </c>
      <c r="D382" s="102">
        <v>5.0000000000000001E-3</v>
      </c>
      <c r="E382" s="152">
        <v>4.0000000000000001E-3</v>
      </c>
      <c r="F382" s="97">
        <v>0</v>
      </c>
      <c r="G382" s="91">
        <f t="shared" si="467"/>
        <v>0</v>
      </c>
      <c r="H382" s="74">
        <v>1393215.15</v>
      </c>
      <c r="I382" s="74">
        <v>1040214</v>
      </c>
      <c r="J382" s="74">
        <f t="shared" si="468"/>
        <v>353001.14999999991</v>
      </c>
      <c r="K382" s="13">
        <f t="shared" si="476"/>
        <v>5</v>
      </c>
      <c r="L382" s="32">
        <f>(1-(D382/2)*K382)*K382</f>
        <v>4.9375</v>
      </c>
      <c r="M382" s="74">
        <f>J382/L382</f>
        <v>71493.903797468331</v>
      </c>
      <c r="N382" s="68">
        <f>M382/H382</f>
        <v>5.1315766841516425E-2</v>
      </c>
      <c r="O382" s="32">
        <v>4.9000000000000004</v>
      </c>
      <c r="P382" s="13">
        <v>74871</v>
      </c>
      <c r="Q382" s="119">
        <f t="shared" si="469"/>
        <v>-3377.0962025316694</v>
      </c>
      <c r="S382" s="13">
        <v>68319</v>
      </c>
      <c r="T382" s="13">
        <f t="shared" si="470"/>
        <v>3174.9037974683306</v>
      </c>
      <c r="W382" s="124">
        <v>0.4200275</v>
      </c>
      <c r="Y382" s="79">
        <f t="shared" si="471"/>
        <v>30029.405677291128</v>
      </c>
      <c r="Z382" s="79">
        <f t="shared" si="472"/>
        <v>31447.878952499999</v>
      </c>
      <c r="AA382" s="79">
        <f t="shared" si="473"/>
        <v>-1418.4732752088707</v>
      </c>
      <c r="AB382" s="79">
        <f t="shared" si="474"/>
        <v>28695.8587725</v>
      </c>
      <c r="AC382" s="79">
        <f t="shared" si="475"/>
        <v>1333.5469047911292</v>
      </c>
    </row>
    <row r="383" spans="1:29">
      <c r="A383" s="20">
        <v>336</v>
      </c>
      <c r="B383" s="16" t="s">
        <v>164</v>
      </c>
      <c r="C383" s="138">
        <v>42735</v>
      </c>
      <c r="D383" s="102">
        <v>2E-3</v>
      </c>
      <c r="E383" s="152">
        <v>0.01</v>
      </c>
      <c r="F383" s="97">
        <v>0</v>
      </c>
      <c r="G383" s="91">
        <f t="shared" si="467"/>
        <v>0</v>
      </c>
      <c r="H383" s="74">
        <v>310958.51</v>
      </c>
      <c r="I383" s="74">
        <v>235849</v>
      </c>
      <c r="J383" s="74">
        <f t="shared" si="468"/>
        <v>75109.510000000009</v>
      </c>
      <c r="K383" s="13">
        <f t="shared" si="476"/>
        <v>5</v>
      </c>
      <c r="L383" s="32">
        <f>(1-(D383/2)*K383)*K383</f>
        <v>4.9749999999999996</v>
      </c>
      <c r="M383" s="74">
        <f>J383/L383</f>
        <v>15097.388944723622</v>
      </c>
      <c r="N383" s="88">
        <f>M383/H383</f>
        <v>4.8551136113700898E-2</v>
      </c>
      <c r="O383" s="32">
        <v>5</v>
      </c>
      <c r="P383" s="13">
        <v>15103</v>
      </c>
      <c r="Q383" s="119">
        <f t="shared" si="469"/>
        <v>-5.6110552763784654</v>
      </c>
      <c r="S383" s="13">
        <v>14744</v>
      </c>
      <c r="T383" s="13">
        <f t="shared" si="470"/>
        <v>353.38894472362153</v>
      </c>
      <c r="W383" s="124">
        <v>0.4200275</v>
      </c>
      <c r="Y383" s="79">
        <f t="shared" si="471"/>
        <v>6341.3185349799005</v>
      </c>
      <c r="Z383" s="79">
        <f t="shared" si="472"/>
        <v>6343.6753325</v>
      </c>
      <c r="AA383" s="79">
        <f t="shared" si="473"/>
        <v>-2.3567975200990556</v>
      </c>
      <c r="AB383" s="79">
        <f t="shared" si="474"/>
        <v>6192.8854600000004</v>
      </c>
      <c r="AC383" s="79">
        <f t="shared" si="475"/>
        <v>148.43307497990094</v>
      </c>
    </row>
    <row r="384" spans="1:29">
      <c r="B384" s="33" t="s">
        <v>62</v>
      </c>
      <c r="C384" s="23"/>
      <c r="D384" s="102"/>
      <c r="E384" s="152"/>
      <c r="F384" s="96"/>
      <c r="G384" s="72"/>
      <c r="H384" s="75">
        <f>+SUBTOTAL(9,H377:H383)</f>
        <v>2831430.1899999995</v>
      </c>
      <c r="I384" s="75">
        <f>+SUBTOTAL(9,I377:I383)</f>
        <v>2156566</v>
      </c>
      <c r="J384" s="75">
        <f>+SUBTOTAL(9,J377:J383)</f>
        <v>674864.19</v>
      </c>
      <c r="K384" s="13"/>
      <c r="L384" s="13"/>
      <c r="M384" s="75">
        <f>+SUBTOTAL(9,M377:M383)</f>
        <v>136184.09281070737</v>
      </c>
      <c r="N384" s="27">
        <f>+ROUND(M384/H384*100,2)</f>
        <v>4.8099999999999996</v>
      </c>
      <c r="O384" s="31"/>
      <c r="P384" s="103">
        <f>+SUBTOTAL(9,P377:P383)</f>
        <v>139751</v>
      </c>
      <c r="Q384" s="120">
        <f>+SUBTOTAL(9,Q377:Q383)</f>
        <v>-3566.9071892926368</v>
      </c>
      <c r="S384" s="103">
        <f>+SUBTOTAL(9,S377:S383)</f>
        <v>137239</v>
      </c>
      <c r="T384" s="103">
        <f>+SUBTOTAL(9,T377:T383)</f>
        <v>-1054.9071892926368</v>
      </c>
      <c r="Y384" s="75">
        <f t="shared" ref="Y384:AC384" si="477">+SUBTOTAL(9,Y377:Y383)</f>
        <v>57201.064043049388</v>
      </c>
      <c r="Z384" s="75">
        <f t="shared" si="477"/>
        <v>58699.263152500003</v>
      </c>
      <c r="AA384" s="75">
        <f t="shared" si="477"/>
        <v>-1498.1991094506129</v>
      </c>
      <c r="AB384" s="75">
        <f t="shared" si="477"/>
        <v>57644.154072500001</v>
      </c>
      <c r="AC384" s="75">
        <f t="shared" si="477"/>
        <v>-443.0900294506128</v>
      </c>
    </row>
    <row r="385" spans="1:29">
      <c r="C385" s="23"/>
      <c r="D385" s="102"/>
      <c r="E385" s="152"/>
      <c r="F385" s="96"/>
      <c r="G385" s="72"/>
      <c r="H385" s="74"/>
      <c r="I385" s="73"/>
      <c r="J385" s="73"/>
      <c r="K385" s="19"/>
      <c r="L385" s="19"/>
      <c r="M385" s="73"/>
      <c r="N385" s="27"/>
      <c r="O385" s="31"/>
      <c r="P385" s="19"/>
      <c r="S385" s="19"/>
      <c r="T385" s="19"/>
    </row>
    <row r="386" spans="1:29">
      <c r="B386" s="55" t="s">
        <v>63</v>
      </c>
      <c r="C386" s="23"/>
      <c r="D386" s="102"/>
      <c r="E386" s="152"/>
      <c r="F386" s="96"/>
      <c r="G386" s="72"/>
      <c r="H386" s="74"/>
      <c r="I386" s="73"/>
      <c r="J386" s="73"/>
      <c r="K386" s="19"/>
      <c r="L386" s="19"/>
      <c r="M386" s="73"/>
      <c r="N386" s="27"/>
      <c r="O386" s="31"/>
      <c r="P386" s="19"/>
      <c r="S386" s="19"/>
      <c r="T386" s="19"/>
    </row>
    <row r="387" spans="1:29">
      <c r="A387" s="20">
        <v>331</v>
      </c>
      <c r="B387" s="15" t="s">
        <v>162</v>
      </c>
      <c r="C387" s="138">
        <v>44196</v>
      </c>
      <c r="D387" s="102">
        <v>2E-3</v>
      </c>
      <c r="E387" s="152">
        <v>2E-3</v>
      </c>
      <c r="F387" s="97">
        <v>0</v>
      </c>
      <c r="G387" s="91">
        <f t="shared" ref="G387:G392" si="478">H387*F387</f>
        <v>0</v>
      </c>
      <c r="H387" s="74">
        <v>368302.99</v>
      </c>
      <c r="I387" s="74">
        <v>258763</v>
      </c>
      <c r="J387" s="74">
        <f t="shared" ref="J387:J392" si="479">H387-G387-I387</f>
        <v>109539.98999999999</v>
      </c>
      <c r="K387" s="13">
        <f>2020-2011</f>
        <v>9</v>
      </c>
      <c r="L387" s="32">
        <f t="shared" ref="L387:L392" si="480">(1-(D387/2)*K387)*K387</f>
        <v>8.9190000000000005</v>
      </c>
      <c r="M387" s="74">
        <f t="shared" ref="M387:M392" si="481">J387/L387</f>
        <v>12281.644803229059</v>
      </c>
      <c r="N387" s="68">
        <f t="shared" ref="N387:N392" si="482">M387/H387</f>
        <v>3.3346579139173049E-2</v>
      </c>
      <c r="O387" s="32">
        <v>8.9</v>
      </c>
      <c r="P387" s="13">
        <v>12744</v>
      </c>
      <c r="Q387" s="119">
        <f t="shared" ref="Q387:Q392" si="483">M387-P387</f>
        <v>-462.35519677094089</v>
      </c>
      <c r="S387" s="13">
        <v>12992</v>
      </c>
      <c r="T387" s="13">
        <f t="shared" ref="T387:T392" si="484">M387-S387</f>
        <v>-710.35519677094089</v>
      </c>
      <c r="W387" s="124">
        <v>0.4200275</v>
      </c>
      <c r="Y387" s="79">
        <f t="shared" ref="Y387:Y392" si="485">M387*W387</f>
        <v>5158.6285625882938</v>
      </c>
      <c r="Z387" s="79">
        <f t="shared" ref="Z387:Z392" si="486">P387*W387</f>
        <v>5352.8304600000001</v>
      </c>
      <c r="AA387" s="79">
        <f t="shared" ref="AA387:AA392" si="487">Q387*W387</f>
        <v>-194.20189741170637</v>
      </c>
      <c r="AB387" s="79">
        <f t="shared" ref="AB387:AB392" si="488">S387*W387</f>
        <v>5456.9972799999996</v>
      </c>
      <c r="AC387" s="79">
        <f t="shared" ref="AC387:AC392" si="489">T387*W387</f>
        <v>-298.36871741170637</v>
      </c>
    </row>
    <row r="388" spans="1:29">
      <c r="A388" s="20">
        <v>332</v>
      </c>
      <c r="B388" s="16" t="s">
        <v>163</v>
      </c>
      <c r="C388" s="138">
        <v>44196</v>
      </c>
      <c r="D388" s="102">
        <v>1.5E-3</v>
      </c>
      <c r="E388" s="152">
        <v>1.5E-3</v>
      </c>
      <c r="F388" s="97">
        <v>0</v>
      </c>
      <c r="G388" s="91">
        <f t="shared" si="478"/>
        <v>0</v>
      </c>
      <c r="H388" s="74">
        <v>1358944.18</v>
      </c>
      <c r="I388" s="74">
        <v>931858</v>
      </c>
      <c r="J388" s="74">
        <f t="shared" si="479"/>
        <v>427086.17999999993</v>
      </c>
      <c r="K388" s="13">
        <f t="shared" ref="K388:K392" si="490">2020-2011</f>
        <v>9</v>
      </c>
      <c r="L388" s="32">
        <f t="shared" si="480"/>
        <v>8.9392499999999995</v>
      </c>
      <c r="M388" s="74">
        <f t="shared" si="481"/>
        <v>47776.511452303042</v>
      </c>
      <c r="N388" s="68">
        <f t="shared" si="482"/>
        <v>3.515708161927817E-2</v>
      </c>
      <c r="O388" s="32">
        <v>8.9</v>
      </c>
      <c r="P388" s="13">
        <v>49506</v>
      </c>
      <c r="Q388" s="119">
        <f t="shared" si="483"/>
        <v>-1729.4885476969575</v>
      </c>
      <c r="S388" s="13">
        <v>52681</v>
      </c>
      <c r="T388" s="13">
        <f t="shared" si="484"/>
        <v>-4904.4885476969575</v>
      </c>
      <c r="W388" s="124">
        <v>0.4200275</v>
      </c>
      <c r="Y388" s="79">
        <f t="shared" si="485"/>
        <v>20067.448664032217</v>
      </c>
      <c r="Z388" s="79">
        <f t="shared" si="486"/>
        <v>20793.881415</v>
      </c>
      <c r="AA388" s="79">
        <f t="shared" si="487"/>
        <v>-726.43275096778382</v>
      </c>
      <c r="AB388" s="79">
        <f t="shared" si="488"/>
        <v>22127.4687275</v>
      </c>
      <c r="AC388" s="79">
        <f t="shared" si="489"/>
        <v>-2060.020063467784</v>
      </c>
    </row>
    <row r="389" spans="1:29">
      <c r="A389" s="20">
        <v>333</v>
      </c>
      <c r="B389" s="16" t="s">
        <v>381</v>
      </c>
      <c r="C389" s="138">
        <v>44196</v>
      </c>
      <c r="D389" s="102">
        <v>4.4999999999999997E-3</v>
      </c>
      <c r="E389" s="152">
        <v>4.4999999999999997E-3</v>
      </c>
      <c r="F389" s="97">
        <v>-0.01</v>
      </c>
      <c r="G389" s="91">
        <f t="shared" si="478"/>
        <v>-9046.652</v>
      </c>
      <c r="H389" s="74">
        <v>904665.2</v>
      </c>
      <c r="I389" s="74">
        <v>592171</v>
      </c>
      <c r="J389" s="74">
        <f t="shared" si="479"/>
        <v>321540.85199999996</v>
      </c>
      <c r="K389" s="13">
        <f t="shared" si="490"/>
        <v>9</v>
      </c>
      <c r="L389" s="32">
        <f t="shared" si="480"/>
        <v>8.8177500000000002</v>
      </c>
      <c r="M389" s="74">
        <f t="shared" si="481"/>
        <v>36465.181253721181</v>
      </c>
      <c r="N389" s="68">
        <f t="shared" si="482"/>
        <v>4.0307929666932231E-2</v>
      </c>
      <c r="O389" s="32">
        <v>8.9</v>
      </c>
      <c r="P389" s="13">
        <v>36305</v>
      </c>
      <c r="Q389" s="119">
        <f t="shared" si="483"/>
        <v>160.18125372118084</v>
      </c>
      <c r="S389" s="13">
        <v>37139</v>
      </c>
      <c r="T389" s="13">
        <f t="shared" si="484"/>
        <v>-673.81874627881916</v>
      </c>
      <c r="W389" s="124">
        <v>0.4200275</v>
      </c>
      <c r="Y389" s="79">
        <f t="shared" si="485"/>
        <v>15316.378919047373</v>
      </c>
      <c r="Z389" s="79">
        <f t="shared" si="486"/>
        <v>15249.0983875</v>
      </c>
      <c r="AA389" s="79">
        <f t="shared" si="487"/>
        <v>67.280531547373286</v>
      </c>
      <c r="AB389" s="79">
        <f t="shared" si="488"/>
        <v>15599.4013225</v>
      </c>
      <c r="AC389" s="79">
        <f t="shared" si="489"/>
        <v>-283.02240345262669</v>
      </c>
    </row>
    <row r="390" spans="1:29">
      <c r="A390" s="20">
        <v>334</v>
      </c>
      <c r="B390" s="16" t="s">
        <v>13</v>
      </c>
      <c r="C390" s="138">
        <v>44196</v>
      </c>
      <c r="D390" s="102">
        <v>5.0000000000000001E-3</v>
      </c>
      <c r="E390" s="152">
        <v>4.0000000000000001E-3</v>
      </c>
      <c r="F390" s="97">
        <v>0</v>
      </c>
      <c r="G390" s="91">
        <f t="shared" si="478"/>
        <v>0</v>
      </c>
      <c r="H390" s="74">
        <v>253737.73</v>
      </c>
      <c r="I390" s="74">
        <v>71575</v>
      </c>
      <c r="J390" s="74">
        <f t="shared" si="479"/>
        <v>182162.73</v>
      </c>
      <c r="K390" s="13">
        <f t="shared" si="490"/>
        <v>9</v>
      </c>
      <c r="L390" s="32">
        <f t="shared" si="480"/>
        <v>8.7974999999999994</v>
      </c>
      <c r="M390" s="74">
        <f t="shared" si="481"/>
        <v>20706.192668371699</v>
      </c>
      <c r="N390" s="68">
        <f t="shared" si="482"/>
        <v>8.1604705253616391E-2</v>
      </c>
      <c r="O390" s="32">
        <v>8.8000000000000007</v>
      </c>
      <c r="P390" s="13">
        <v>21029</v>
      </c>
      <c r="Q390" s="119">
        <f t="shared" si="483"/>
        <v>-322.80733162830074</v>
      </c>
      <c r="S390" s="13">
        <v>24445</v>
      </c>
      <c r="T390" s="13">
        <f t="shared" si="484"/>
        <v>-3738.8073316283007</v>
      </c>
      <c r="W390" s="124">
        <v>0.4200275</v>
      </c>
      <c r="Y390" s="79">
        <f t="shared" si="485"/>
        <v>8697.1703410144946</v>
      </c>
      <c r="Z390" s="79">
        <f t="shared" si="486"/>
        <v>8832.7582975000005</v>
      </c>
      <c r="AA390" s="79">
        <f t="shared" si="487"/>
        <v>-135.58795648550608</v>
      </c>
      <c r="AB390" s="79">
        <f t="shared" si="488"/>
        <v>10267.5722375</v>
      </c>
      <c r="AC390" s="79">
        <f t="shared" si="489"/>
        <v>-1570.4018964855061</v>
      </c>
    </row>
    <row r="391" spans="1:29">
      <c r="A391" s="20">
        <v>335</v>
      </c>
      <c r="B391" s="15" t="s">
        <v>378</v>
      </c>
      <c r="C391" s="138">
        <v>44196</v>
      </c>
      <c r="D391" s="102">
        <v>7.0000000000000001E-3</v>
      </c>
      <c r="E391" s="152">
        <v>6.0000000000000001E-3</v>
      </c>
      <c r="F391" s="97">
        <v>0</v>
      </c>
      <c r="G391" s="91">
        <f t="shared" si="478"/>
        <v>0</v>
      </c>
      <c r="H391" s="74">
        <v>22270.09</v>
      </c>
      <c r="I391" s="74">
        <v>14643</v>
      </c>
      <c r="J391" s="74">
        <f t="shared" si="479"/>
        <v>7627.09</v>
      </c>
      <c r="K391" s="13">
        <f t="shared" si="490"/>
        <v>9</v>
      </c>
      <c r="L391" s="32">
        <f t="shared" si="480"/>
        <v>8.7164999999999999</v>
      </c>
      <c r="M391" s="74">
        <f t="shared" si="481"/>
        <v>875.01749555440836</v>
      </c>
      <c r="N391" s="68">
        <f t="shared" si="482"/>
        <v>3.9291152193565826E-2</v>
      </c>
      <c r="O391" s="32">
        <v>8.6999999999999993</v>
      </c>
      <c r="P391" s="13">
        <v>898</v>
      </c>
      <c r="Q391" s="119">
        <f t="shared" si="483"/>
        <v>-22.982504445591644</v>
      </c>
      <c r="S391" s="13">
        <v>871</v>
      </c>
      <c r="T391" s="13">
        <f t="shared" si="484"/>
        <v>4.0174955544083559</v>
      </c>
      <c r="W391" s="124">
        <v>0.4200275</v>
      </c>
      <c r="Y391" s="79">
        <f t="shared" si="485"/>
        <v>367.53141111397923</v>
      </c>
      <c r="Z391" s="79">
        <f t="shared" si="486"/>
        <v>377.18469499999998</v>
      </c>
      <c r="AA391" s="79">
        <f t="shared" si="487"/>
        <v>-9.6532838860207448</v>
      </c>
      <c r="AB391" s="79">
        <f t="shared" si="488"/>
        <v>365.8439525</v>
      </c>
      <c r="AC391" s="79">
        <f t="shared" si="489"/>
        <v>1.6874586139792558</v>
      </c>
    </row>
    <row r="392" spans="1:29">
      <c r="A392" s="20">
        <v>336</v>
      </c>
      <c r="B392" s="16" t="s">
        <v>164</v>
      </c>
      <c r="C392" s="138">
        <v>44196</v>
      </c>
      <c r="D392" s="102">
        <v>2E-3</v>
      </c>
      <c r="E392" s="152">
        <v>0.01</v>
      </c>
      <c r="F392" s="97">
        <v>0</v>
      </c>
      <c r="G392" s="91">
        <f t="shared" si="478"/>
        <v>0</v>
      </c>
      <c r="H392" s="74">
        <v>39856.53</v>
      </c>
      <c r="I392" s="74">
        <v>24646</v>
      </c>
      <c r="J392" s="74">
        <f t="shared" si="479"/>
        <v>15210.529999999999</v>
      </c>
      <c r="K392" s="13">
        <f t="shared" si="490"/>
        <v>9</v>
      </c>
      <c r="L392" s="32">
        <f t="shared" si="480"/>
        <v>8.9190000000000005</v>
      </c>
      <c r="M392" s="74">
        <f t="shared" si="481"/>
        <v>1705.4075569009976</v>
      </c>
      <c r="N392" s="88">
        <f t="shared" si="482"/>
        <v>4.2788661152915158E-2</v>
      </c>
      <c r="O392" s="32">
        <v>8.9</v>
      </c>
      <c r="P392" s="13">
        <v>1750</v>
      </c>
      <c r="Q392" s="119">
        <f t="shared" si="483"/>
        <v>-44.592443099002367</v>
      </c>
      <c r="S392" s="13">
        <v>1729</v>
      </c>
      <c r="T392" s="13">
        <f t="shared" si="484"/>
        <v>-23.592443099002367</v>
      </c>
      <c r="W392" s="124">
        <v>0.4200275</v>
      </c>
      <c r="Y392" s="79">
        <f t="shared" si="485"/>
        <v>716.31807260623373</v>
      </c>
      <c r="Z392" s="79">
        <f t="shared" si="486"/>
        <v>735.04812500000003</v>
      </c>
      <c r="AA392" s="79">
        <f t="shared" si="487"/>
        <v>-18.730052393766215</v>
      </c>
      <c r="AB392" s="79">
        <f t="shared" si="488"/>
        <v>726.22754750000001</v>
      </c>
      <c r="AC392" s="79">
        <f t="shared" si="489"/>
        <v>-9.909474893766216</v>
      </c>
    </row>
    <row r="393" spans="1:29">
      <c r="B393" s="33" t="s">
        <v>64</v>
      </c>
      <c r="C393" s="23"/>
      <c r="D393" s="102"/>
      <c r="E393" s="152"/>
      <c r="F393" s="96"/>
      <c r="G393" s="72"/>
      <c r="H393" s="75">
        <f>+SUBTOTAL(9,H386:H392)</f>
        <v>2947776.7199999997</v>
      </c>
      <c r="I393" s="75">
        <f>+SUBTOTAL(9,I386:I392)</f>
        <v>1893656</v>
      </c>
      <c r="J393" s="75">
        <f>+SUBTOTAL(9,J386:J392)</f>
        <v>1063167.3719999997</v>
      </c>
      <c r="K393" s="13"/>
      <c r="L393" s="13"/>
      <c r="M393" s="75">
        <f>+SUBTOTAL(9,M386:M392)</f>
        <v>119809.95523008039</v>
      </c>
      <c r="N393" s="27">
        <f>+ROUND(M393/H393*100,2)</f>
        <v>4.0599999999999996</v>
      </c>
      <c r="O393" s="31"/>
      <c r="P393" s="103">
        <f>+SUBTOTAL(9,P386:P392)</f>
        <v>122232</v>
      </c>
      <c r="Q393" s="120">
        <f>+SUBTOTAL(9,Q386:Q392)</f>
        <v>-2422.044769919612</v>
      </c>
      <c r="S393" s="103">
        <f>+SUBTOTAL(9,S386:S392)</f>
        <v>129857</v>
      </c>
      <c r="T393" s="103">
        <f>+SUBTOTAL(9,T386:T392)</f>
        <v>-10047.044769919612</v>
      </c>
      <c r="Y393" s="75">
        <f t="shared" ref="Y393:AC393" si="491">+SUBTOTAL(9,Y386:Y392)</f>
        <v>50323.475970402593</v>
      </c>
      <c r="Z393" s="75">
        <f t="shared" si="491"/>
        <v>51340.801380000004</v>
      </c>
      <c r="AA393" s="75">
        <f t="shared" si="491"/>
        <v>-1017.3254095974099</v>
      </c>
      <c r="AB393" s="75">
        <f t="shared" si="491"/>
        <v>54543.511067499996</v>
      </c>
      <c r="AC393" s="75">
        <f t="shared" si="491"/>
        <v>-4220.0350970974096</v>
      </c>
    </row>
    <row r="394" spans="1:29">
      <c r="C394" s="43"/>
      <c r="E394" s="153"/>
      <c r="F394" s="96"/>
      <c r="G394" s="72"/>
      <c r="I394" s="73"/>
      <c r="J394" s="73"/>
      <c r="K394" s="19"/>
      <c r="L394" s="19"/>
      <c r="M394" s="73"/>
      <c r="N394" s="27"/>
      <c r="O394" s="31"/>
      <c r="P394" s="19"/>
      <c r="S394" s="19"/>
      <c r="T394" s="19"/>
    </row>
    <row r="395" spans="1:29">
      <c r="B395" s="55" t="s">
        <v>65</v>
      </c>
      <c r="C395" s="43"/>
      <c r="E395" s="153"/>
      <c r="F395" s="96"/>
      <c r="G395" s="72"/>
      <c r="I395" s="73"/>
      <c r="J395" s="73"/>
      <c r="K395" s="19"/>
      <c r="L395" s="19"/>
      <c r="M395" s="73"/>
      <c r="N395" s="27"/>
      <c r="O395" s="31"/>
      <c r="P395" s="19"/>
      <c r="S395" s="19"/>
      <c r="T395" s="19"/>
    </row>
    <row r="396" spans="1:29">
      <c r="A396" s="20">
        <v>330.2</v>
      </c>
      <c r="B396" s="16" t="s">
        <v>10</v>
      </c>
      <c r="C396" s="138">
        <v>58075</v>
      </c>
      <c r="D396" s="102"/>
      <c r="E396" s="152"/>
      <c r="F396" s="97">
        <v>0</v>
      </c>
      <c r="G396" s="91">
        <f t="shared" ref="G396:G402" si="492">H396*F396</f>
        <v>0</v>
      </c>
      <c r="H396" s="74">
        <v>761579.86</v>
      </c>
      <c r="I396" s="74">
        <v>464848</v>
      </c>
      <c r="J396" s="74">
        <f t="shared" ref="J396:J402" si="493">H396-G396-I396</f>
        <v>296731.86</v>
      </c>
      <c r="K396" s="13">
        <f>2058-2011</f>
        <v>47</v>
      </c>
      <c r="L396" s="32">
        <f t="shared" ref="L396:L402" si="494">(1-(D396/2)*K396)*K396</f>
        <v>47</v>
      </c>
      <c r="M396" s="74">
        <f t="shared" ref="M396:M402" si="495">J396/L396</f>
        <v>6313.4438297872339</v>
      </c>
      <c r="N396" s="68">
        <f t="shared" ref="N396:N402" si="496">M396/H396</f>
        <v>8.289930132589423E-3</v>
      </c>
      <c r="O396" s="32">
        <v>47</v>
      </c>
      <c r="P396" s="13">
        <v>6313</v>
      </c>
      <c r="Q396" s="119">
        <f t="shared" ref="Q396:Q402" si="497">M396-P396</f>
        <v>0.44382978723388078</v>
      </c>
      <c r="S396" s="13">
        <v>6242</v>
      </c>
      <c r="T396" s="13">
        <f t="shared" ref="T396:T402" si="498">M396-S396</f>
        <v>71.443829787233881</v>
      </c>
      <c r="W396" s="124">
        <v>0.4200275</v>
      </c>
      <c r="Y396" s="79">
        <f t="shared" ref="Y396:Y402" si="499">M396*W396</f>
        <v>2651.8200282159573</v>
      </c>
      <c r="Z396" s="79">
        <f t="shared" ref="Z396:Z402" si="500">P396*W396</f>
        <v>2651.6336074999999</v>
      </c>
      <c r="AA396" s="79">
        <f t="shared" ref="AA396:AA402" si="501">Q396*W396</f>
        <v>0.18642071595737886</v>
      </c>
      <c r="AB396" s="79">
        <f t="shared" ref="AB396:AB402" si="502">S396*W396</f>
        <v>2621.811655</v>
      </c>
      <c r="AC396" s="79">
        <f t="shared" ref="AC396:AC402" si="503">T396*W396</f>
        <v>30.008373215957377</v>
      </c>
    </row>
    <row r="397" spans="1:29">
      <c r="A397" s="20">
        <v>331</v>
      </c>
      <c r="B397" s="15" t="s">
        <v>162</v>
      </c>
      <c r="C397" s="138">
        <v>58075</v>
      </c>
      <c r="D397" s="102">
        <v>2E-3</v>
      </c>
      <c r="E397" s="152">
        <v>2E-3</v>
      </c>
      <c r="F397" s="97">
        <v>-0.02</v>
      </c>
      <c r="G397" s="91">
        <f t="shared" si="492"/>
        <v>-153618.49119999999</v>
      </c>
      <c r="H397" s="74">
        <v>7680924.5599999996</v>
      </c>
      <c r="I397" s="74">
        <v>2771426</v>
      </c>
      <c r="J397" s="74">
        <f t="shared" si="493"/>
        <v>5063117.0511999996</v>
      </c>
      <c r="K397" s="13">
        <f t="shared" ref="K397:K402" si="504">2058-2011</f>
        <v>47</v>
      </c>
      <c r="L397" s="32">
        <f t="shared" si="494"/>
        <v>44.790999999999997</v>
      </c>
      <c r="M397" s="74">
        <f t="shared" si="495"/>
        <v>113038.71427742181</v>
      </c>
      <c r="N397" s="68">
        <f t="shared" si="496"/>
        <v>1.4716810898793909E-2</v>
      </c>
      <c r="O397" s="32">
        <v>43.9</v>
      </c>
      <c r="P397" s="13">
        <v>124156</v>
      </c>
      <c r="Q397" s="119">
        <f t="shared" si="497"/>
        <v>-11117.285722578192</v>
      </c>
      <c r="S397" s="13">
        <v>122411</v>
      </c>
      <c r="T397" s="13">
        <f t="shared" si="498"/>
        <v>-9372.2857225781918</v>
      </c>
      <c r="W397" s="124">
        <v>0.4200275</v>
      </c>
      <c r="Y397" s="79">
        <f t="shared" si="499"/>
        <v>47479.36856115979</v>
      </c>
      <c r="Z397" s="79">
        <f t="shared" si="500"/>
        <v>52148.934289999997</v>
      </c>
      <c r="AA397" s="79">
        <f t="shared" si="501"/>
        <v>-4669.5657288402117</v>
      </c>
      <c r="AB397" s="79">
        <f t="shared" si="502"/>
        <v>51415.986302500001</v>
      </c>
      <c r="AC397" s="79">
        <f t="shared" si="503"/>
        <v>-3936.6177413402115</v>
      </c>
    </row>
    <row r="398" spans="1:29">
      <c r="A398" s="20">
        <v>332</v>
      </c>
      <c r="B398" s="16" t="s">
        <v>163</v>
      </c>
      <c r="C398" s="138">
        <v>58075</v>
      </c>
      <c r="D398" s="102">
        <v>1.5E-3</v>
      </c>
      <c r="E398" s="152">
        <v>1.5E-3</v>
      </c>
      <c r="F398" s="97">
        <v>-0.01</v>
      </c>
      <c r="G398" s="91">
        <f t="shared" si="492"/>
        <v>-276538.17170000001</v>
      </c>
      <c r="H398" s="74">
        <v>27653817.170000002</v>
      </c>
      <c r="I398" s="74">
        <v>17599833</v>
      </c>
      <c r="J398" s="74">
        <f t="shared" si="493"/>
        <v>10330522.341700003</v>
      </c>
      <c r="K398" s="13">
        <f t="shared" si="504"/>
        <v>47</v>
      </c>
      <c r="L398" s="32">
        <f t="shared" si="494"/>
        <v>45.343249999999998</v>
      </c>
      <c r="M398" s="74">
        <f t="shared" si="495"/>
        <v>227829.33163591058</v>
      </c>
      <c r="N398" s="68">
        <f t="shared" si="496"/>
        <v>8.2386214617441392E-3</v>
      </c>
      <c r="O398" s="32">
        <v>42.1</v>
      </c>
      <c r="P398" s="13">
        <v>304166</v>
      </c>
      <c r="Q398" s="119">
        <f t="shared" si="497"/>
        <v>-76336.668364089419</v>
      </c>
      <c r="S398" s="13">
        <v>515384</v>
      </c>
      <c r="T398" s="13">
        <f t="shared" si="498"/>
        <v>-287554.66836408945</v>
      </c>
      <c r="W398" s="124">
        <v>0.4200275</v>
      </c>
      <c r="Y398" s="79">
        <f t="shared" si="499"/>
        <v>95694.584593702428</v>
      </c>
      <c r="Z398" s="79">
        <f t="shared" si="500"/>
        <v>127758.084565</v>
      </c>
      <c r="AA398" s="79">
        <f t="shared" si="501"/>
        <v>-32063.49997129757</v>
      </c>
      <c r="AB398" s="79">
        <f t="shared" si="502"/>
        <v>216475.45306</v>
      </c>
      <c r="AC398" s="79">
        <f t="shared" si="503"/>
        <v>-120780.86846629759</v>
      </c>
    </row>
    <row r="399" spans="1:29">
      <c r="A399" s="20">
        <v>333</v>
      </c>
      <c r="B399" s="16" t="s">
        <v>381</v>
      </c>
      <c r="C399" s="138">
        <v>58075</v>
      </c>
      <c r="D399" s="102">
        <v>4.4999999999999997E-3</v>
      </c>
      <c r="E399" s="152">
        <v>4.4999999999999997E-3</v>
      </c>
      <c r="F399" s="97">
        <v>-0.04</v>
      </c>
      <c r="G399" s="91">
        <f t="shared" si="492"/>
        <v>-427922.52600000001</v>
      </c>
      <c r="H399" s="74">
        <v>10698063.15</v>
      </c>
      <c r="I399" s="74">
        <v>5305887</v>
      </c>
      <c r="J399" s="74">
        <f t="shared" si="493"/>
        <v>5820098.6760000009</v>
      </c>
      <c r="K399" s="13">
        <f t="shared" si="504"/>
        <v>47</v>
      </c>
      <c r="L399" s="32">
        <f t="shared" si="494"/>
        <v>42.02975</v>
      </c>
      <c r="M399" s="74">
        <f t="shared" si="495"/>
        <v>138475.6910521714</v>
      </c>
      <c r="N399" s="68">
        <f t="shared" si="496"/>
        <v>1.2943996414170671E-2</v>
      </c>
      <c r="O399" s="32">
        <v>39.4</v>
      </c>
      <c r="P399" s="13">
        <v>177745</v>
      </c>
      <c r="Q399" s="119">
        <f t="shared" si="497"/>
        <v>-39269.308947828598</v>
      </c>
      <c r="S399" s="13">
        <v>177242</v>
      </c>
      <c r="T399" s="13">
        <f t="shared" si="498"/>
        <v>-38766.308947828598</v>
      </c>
      <c r="W399" s="124">
        <v>0.4200275</v>
      </c>
      <c r="Y399" s="79">
        <f t="shared" si="499"/>
        <v>58163.598323415921</v>
      </c>
      <c r="Z399" s="79">
        <f t="shared" si="500"/>
        <v>74657.787987499993</v>
      </c>
      <c r="AA399" s="79">
        <f t="shared" si="501"/>
        <v>-16494.189664084075</v>
      </c>
      <c r="AB399" s="79">
        <f t="shared" si="502"/>
        <v>74446.514154999997</v>
      </c>
      <c r="AC399" s="79">
        <f t="shared" si="503"/>
        <v>-16282.915831584076</v>
      </c>
    </row>
    <row r="400" spans="1:29">
      <c r="A400" s="20">
        <v>334</v>
      </c>
      <c r="B400" s="16" t="s">
        <v>13</v>
      </c>
      <c r="C400" s="138">
        <v>58075</v>
      </c>
      <c r="D400" s="102">
        <v>5.0000000000000001E-3</v>
      </c>
      <c r="E400" s="152">
        <v>4.0000000000000001E-3</v>
      </c>
      <c r="F400" s="97">
        <v>-0.02</v>
      </c>
      <c r="G400" s="91">
        <f t="shared" si="492"/>
        <v>-71735.443599999999</v>
      </c>
      <c r="H400" s="74">
        <v>3586772.18</v>
      </c>
      <c r="I400" s="74">
        <v>1122186</v>
      </c>
      <c r="J400" s="74">
        <f t="shared" si="493"/>
        <v>2536321.6236</v>
      </c>
      <c r="K400" s="13">
        <f t="shared" si="504"/>
        <v>47</v>
      </c>
      <c r="L400" s="32">
        <f t="shared" si="494"/>
        <v>41.477499999999999</v>
      </c>
      <c r="M400" s="74">
        <f t="shared" si="495"/>
        <v>61149.336956181061</v>
      </c>
      <c r="N400" s="68">
        <f t="shared" si="496"/>
        <v>1.7048570103546708E-2</v>
      </c>
      <c r="O400" s="32">
        <v>36.4</v>
      </c>
      <c r="P400" s="13">
        <v>76509</v>
      </c>
      <c r="Q400" s="119">
        <f t="shared" si="497"/>
        <v>-15359.663043818939</v>
      </c>
      <c r="S400" s="13">
        <v>75366</v>
      </c>
      <c r="T400" s="13">
        <f t="shared" si="498"/>
        <v>-14216.663043818939</v>
      </c>
      <c r="W400" s="124">
        <v>0.4200275</v>
      </c>
      <c r="Y400" s="79">
        <f t="shared" si="499"/>
        <v>25684.403128362341</v>
      </c>
      <c r="Z400" s="79">
        <f t="shared" si="500"/>
        <v>32135.883997500001</v>
      </c>
      <c r="AA400" s="79">
        <f t="shared" si="501"/>
        <v>-6451.4808691376593</v>
      </c>
      <c r="AB400" s="79">
        <f t="shared" si="502"/>
        <v>31655.792565</v>
      </c>
      <c r="AC400" s="79">
        <f t="shared" si="503"/>
        <v>-5971.3894366376589</v>
      </c>
    </row>
    <row r="401" spans="1:29">
      <c r="A401" s="20">
        <v>335</v>
      </c>
      <c r="B401" s="15" t="s">
        <v>378</v>
      </c>
      <c r="C401" s="138">
        <v>58075</v>
      </c>
      <c r="D401" s="102">
        <v>7.0000000000000001E-3</v>
      </c>
      <c r="E401" s="152">
        <v>6.0000000000000001E-3</v>
      </c>
      <c r="F401" s="97">
        <v>-0.02</v>
      </c>
      <c r="G401" s="91">
        <f t="shared" si="492"/>
        <v>-10937.179199999999</v>
      </c>
      <c r="H401" s="74">
        <v>546858.96</v>
      </c>
      <c r="I401" s="74">
        <v>314075</v>
      </c>
      <c r="J401" s="74">
        <f t="shared" si="493"/>
        <v>243721.13919999998</v>
      </c>
      <c r="K401" s="13">
        <f t="shared" si="504"/>
        <v>47</v>
      </c>
      <c r="L401" s="32">
        <f t="shared" si="494"/>
        <v>39.268500000000003</v>
      </c>
      <c r="M401" s="74">
        <f t="shared" si="495"/>
        <v>6206.5304047773652</v>
      </c>
      <c r="N401" s="68">
        <f t="shared" si="496"/>
        <v>1.1349417050380532E-2</v>
      </c>
      <c r="O401" s="32">
        <v>34.299999999999997</v>
      </c>
      <c r="P401" s="13">
        <v>7739</v>
      </c>
      <c r="Q401" s="119">
        <f t="shared" si="497"/>
        <v>-1532.4695952226348</v>
      </c>
      <c r="S401" s="13">
        <v>7484</v>
      </c>
      <c r="T401" s="13">
        <f t="shared" si="498"/>
        <v>-1277.4695952226348</v>
      </c>
      <c r="W401" s="124">
        <v>0.4200275</v>
      </c>
      <c r="Y401" s="79">
        <f t="shared" si="499"/>
        <v>2606.9134495926246</v>
      </c>
      <c r="Z401" s="79">
        <f t="shared" si="500"/>
        <v>3250.5928224999998</v>
      </c>
      <c r="AA401" s="79">
        <f t="shared" si="501"/>
        <v>-643.67937290737518</v>
      </c>
      <c r="AB401" s="79">
        <f t="shared" si="502"/>
        <v>3143.4858100000001</v>
      </c>
      <c r="AC401" s="79">
        <f t="shared" si="503"/>
        <v>-536.57236040737519</v>
      </c>
    </row>
    <row r="402" spans="1:29">
      <c r="A402" s="20">
        <v>336</v>
      </c>
      <c r="B402" s="16" t="s">
        <v>164</v>
      </c>
      <c r="C402" s="138">
        <v>58075</v>
      </c>
      <c r="D402" s="102">
        <v>2E-3</v>
      </c>
      <c r="E402" s="152">
        <v>0.01</v>
      </c>
      <c r="F402" s="97">
        <v>-0.02</v>
      </c>
      <c r="G402" s="91">
        <f t="shared" si="492"/>
        <v>-28789.249400000001</v>
      </c>
      <c r="H402" s="74">
        <v>1439462.47</v>
      </c>
      <c r="I402" s="74">
        <v>383868</v>
      </c>
      <c r="J402" s="74">
        <f t="shared" si="493"/>
        <v>1084383.7194000001</v>
      </c>
      <c r="K402" s="13">
        <f t="shared" si="504"/>
        <v>47</v>
      </c>
      <c r="L402" s="32">
        <f t="shared" si="494"/>
        <v>44.790999999999997</v>
      </c>
      <c r="M402" s="74">
        <f t="shared" si="495"/>
        <v>24209.857324015989</v>
      </c>
      <c r="N402" s="88">
        <f t="shared" si="496"/>
        <v>1.6818679075402354E-2</v>
      </c>
      <c r="O402" s="32">
        <v>44.3</v>
      </c>
      <c r="P402" s="13">
        <v>25447</v>
      </c>
      <c r="Q402" s="119">
        <f t="shared" si="497"/>
        <v>-1237.1426759840106</v>
      </c>
      <c r="S402" s="13">
        <v>25225</v>
      </c>
      <c r="T402" s="13">
        <f t="shared" si="498"/>
        <v>-1015.1426759840106</v>
      </c>
      <c r="W402" s="124">
        <v>0.4200275</v>
      </c>
      <c r="Y402" s="79">
        <f t="shared" si="499"/>
        <v>10168.805847163127</v>
      </c>
      <c r="Z402" s="79">
        <f t="shared" si="500"/>
        <v>10688.439792499999</v>
      </c>
      <c r="AA402" s="79">
        <f t="shared" si="501"/>
        <v>-519.63394533687404</v>
      </c>
      <c r="AB402" s="79">
        <f t="shared" si="502"/>
        <v>10595.193687499999</v>
      </c>
      <c r="AC402" s="79">
        <f t="shared" si="503"/>
        <v>-426.38784033687398</v>
      </c>
    </row>
    <row r="403" spans="1:29">
      <c r="B403" s="33" t="s">
        <v>66</v>
      </c>
      <c r="C403" s="23"/>
      <c r="D403" s="102"/>
      <c r="F403" s="96"/>
      <c r="G403" s="72"/>
      <c r="H403" s="75">
        <f>+SUBTOTAL(9,H396:H402)</f>
        <v>52367478.350000001</v>
      </c>
      <c r="I403" s="75">
        <f>+SUBTOTAL(9,I396:I402)</f>
        <v>27962123</v>
      </c>
      <c r="J403" s="75">
        <f>+SUBTOTAL(9,J396:J402)</f>
        <v>25374896.4111</v>
      </c>
      <c r="K403" s="13"/>
      <c r="L403" s="13"/>
      <c r="M403" s="75">
        <f>+SUBTOTAL(9,M396:M402)</f>
        <v>577222.90548026538</v>
      </c>
      <c r="N403" s="27">
        <f>+ROUND(M403/H403*100,2)</f>
        <v>1.1000000000000001</v>
      </c>
      <c r="O403" s="31"/>
      <c r="P403" s="103">
        <f>+SUBTOTAL(9,P396:P402)</f>
        <v>722075</v>
      </c>
      <c r="Q403" s="120">
        <f>+SUBTOTAL(9,Q396:Q402)</f>
        <v>-144852.09451973456</v>
      </c>
      <c r="S403" s="103">
        <f>+SUBTOTAL(9,S396:S402)</f>
        <v>929354</v>
      </c>
      <c r="T403" s="103">
        <f>+SUBTOTAL(9,T396:T402)</f>
        <v>-352131.09451973462</v>
      </c>
      <c r="Y403" s="75">
        <f t="shared" ref="Y403:AC403" si="505">+SUBTOTAL(9,Y396:Y402)</f>
        <v>242449.49393161223</v>
      </c>
      <c r="Z403" s="75">
        <f t="shared" ref="Z403" si="506">+SUBTOTAL(9,Z396:Z402)</f>
        <v>303291.35706249997</v>
      </c>
      <c r="AA403" s="75">
        <f t="shared" si="505"/>
        <v>-60841.86313088781</v>
      </c>
      <c r="AB403" s="75">
        <f t="shared" si="505"/>
        <v>390354.23723500001</v>
      </c>
      <c r="AC403" s="75">
        <f t="shared" si="505"/>
        <v>-147904.74330338786</v>
      </c>
    </row>
    <row r="404" spans="1:29">
      <c r="B404" s="17"/>
      <c r="C404" s="17"/>
      <c r="D404" s="101"/>
      <c r="H404" s="79"/>
      <c r="I404" s="73"/>
      <c r="J404" s="73"/>
      <c r="K404" s="25"/>
      <c r="L404" s="25"/>
      <c r="M404" s="73"/>
      <c r="N404" s="27"/>
      <c r="O404" s="31"/>
      <c r="P404" s="25"/>
      <c r="S404" s="25"/>
      <c r="T404" s="25"/>
      <c r="Y404" s="73"/>
      <c r="Z404" s="73"/>
      <c r="AA404" s="73"/>
      <c r="AB404" s="73"/>
      <c r="AC404" s="73"/>
    </row>
    <row r="405" spans="1:29">
      <c r="B405" s="16" t="s">
        <v>286</v>
      </c>
      <c r="C405" s="17"/>
      <c r="D405" s="101"/>
      <c r="F405" s="96"/>
      <c r="G405" s="72"/>
      <c r="H405" s="79"/>
      <c r="I405" s="78">
        <v>-2219335</v>
      </c>
      <c r="J405" s="78">
        <v>8853085</v>
      </c>
      <c r="K405" s="13"/>
      <c r="L405" s="13"/>
      <c r="M405" s="78">
        <f>+ROUND(J405/O405,0)</f>
        <v>1770617</v>
      </c>
      <c r="N405" s="90"/>
      <c r="O405" s="31">
        <v>5</v>
      </c>
      <c r="P405" s="142">
        <v>1770617</v>
      </c>
      <c r="Q405" s="119">
        <f t="shared" ref="Q405" si="507">M405-P405</f>
        <v>0</v>
      </c>
      <c r="S405" s="142">
        <v>1770617</v>
      </c>
      <c r="T405" s="13">
        <f t="shared" ref="T405" si="508">M405-S405</f>
        <v>0</v>
      </c>
      <c r="W405" s="124">
        <v>0.4200275</v>
      </c>
      <c r="Y405" s="79">
        <f t="shared" ref="Y405" si="509">M405*W405</f>
        <v>743707.83196750004</v>
      </c>
      <c r="Z405" s="79">
        <f t="shared" ref="Z405" si="510">P405*W405</f>
        <v>743707.83196750004</v>
      </c>
      <c r="AA405" s="79">
        <f t="shared" ref="AA405" si="511">Q405*W405</f>
        <v>0</v>
      </c>
      <c r="AB405" s="79">
        <f t="shared" ref="AB405" si="512">S405*W405</f>
        <v>743707.83196750004</v>
      </c>
      <c r="AC405" s="79">
        <f t="shared" ref="AC405" si="513">T405*W405</f>
        <v>0</v>
      </c>
    </row>
    <row r="406" spans="1:29">
      <c r="B406" s="15"/>
      <c r="C406" s="17"/>
      <c r="D406" s="101"/>
      <c r="H406" s="80"/>
      <c r="I406" s="74"/>
      <c r="J406" s="74"/>
      <c r="K406" s="13"/>
      <c r="L406" s="13"/>
      <c r="M406" s="74"/>
      <c r="N406" s="27"/>
      <c r="O406" s="31"/>
      <c r="P406" s="13"/>
      <c r="S406" s="13"/>
      <c r="T406" s="13"/>
      <c r="Y406" s="74"/>
      <c r="Z406" s="74"/>
      <c r="AA406" s="74"/>
      <c r="AB406" s="74"/>
      <c r="AC406" s="74"/>
    </row>
    <row r="407" spans="1:29">
      <c r="A407" s="57"/>
      <c r="B407" s="49" t="s">
        <v>67</v>
      </c>
      <c r="C407" s="17"/>
      <c r="D407" s="101"/>
      <c r="F407" s="96"/>
      <c r="G407" s="72"/>
      <c r="H407" s="81">
        <f>+SUBTOTAL(9,H151:H406)</f>
        <v>697877989.23999989</v>
      </c>
      <c r="I407" s="77">
        <f>+SUBTOTAL(9,I151:I406)</f>
        <v>250439538</v>
      </c>
      <c r="J407" s="77">
        <f>+SUBTOTAL(9,J151:J406)</f>
        <v>462425386.80940008</v>
      </c>
      <c r="K407" s="58"/>
      <c r="L407" s="58"/>
      <c r="M407" s="77">
        <f>+SUBTOTAL(9,M151:M406)</f>
        <v>24465702.249197979</v>
      </c>
      <c r="N407" s="27">
        <f>+ROUND(M407/H407*100,2)</f>
        <v>3.51</v>
      </c>
      <c r="O407" s="31"/>
      <c r="P407" s="58">
        <f>+SUBTOTAL(9,P151:P406)</f>
        <v>25085845</v>
      </c>
      <c r="Q407" s="115">
        <f>+SUBTOTAL(9,Q151:Q406)</f>
        <v>-620142.75080201449</v>
      </c>
      <c r="S407" s="58">
        <f>+SUBTOTAL(9,S151:S406)</f>
        <v>33948744</v>
      </c>
      <c r="T407" s="58">
        <f>+SUBTOTAL(9,T151:T406)</f>
        <v>-9483041.7508020196</v>
      </c>
      <c r="Y407" s="77">
        <f t="shared" ref="Y407:AC407" si="514">+SUBTOTAL(9,Y151:Y406)</f>
        <v>10276267.751475006</v>
      </c>
      <c r="Z407" s="77">
        <f t="shared" ref="Z407" si="515">+SUBTOTAL(9,Z151:Z406)</f>
        <v>10536744.760737501</v>
      </c>
      <c r="AA407" s="77">
        <f t="shared" si="514"/>
        <v>-260477.0092624932</v>
      </c>
      <c r="AB407" s="77">
        <f t="shared" si="514"/>
        <v>14259406.070460003</v>
      </c>
      <c r="AC407" s="77">
        <f t="shared" si="514"/>
        <v>-3983138.3189849933</v>
      </c>
    </row>
    <row r="408" spans="1:29">
      <c r="B408" s="17"/>
      <c r="C408" s="17"/>
      <c r="D408" s="101"/>
      <c r="H408" s="79"/>
      <c r="I408" s="73"/>
      <c r="J408" s="73"/>
      <c r="K408" s="19"/>
      <c r="L408" s="19"/>
      <c r="M408" s="73"/>
      <c r="N408" s="27"/>
      <c r="O408" s="31"/>
      <c r="P408" s="19"/>
      <c r="S408" s="19"/>
      <c r="T408" s="19"/>
      <c r="Y408" s="73"/>
      <c r="Z408" s="73"/>
      <c r="AA408" s="73"/>
      <c r="AB408" s="73"/>
      <c r="AC408" s="73"/>
    </row>
    <row r="409" spans="1:29">
      <c r="A409" s="14"/>
      <c r="B409" s="17"/>
      <c r="C409" s="43"/>
      <c r="F409" s="96"/>
      <c r="G409" s="72"/>
      <c r="I409" s="73"/>
      <c r="J409" s="73"/>
      <c r="K409" s="19"/>
      <c r="L409" s="19"/>
      <c r="M409" s="73"/>
      <c r="N409" s="27"/>
      <c r="O409" s="31"/>
      <c r="P409" s="19"/>
      <c r="S409" s="19"/>
      <c r="T409" s="19"/>
    </row>
    <row r="410" spans="1:29">
      <c r="A410" s="46" t="s">
        <v>68</v>
      </c>
      <c r="B410" s="59"/>
      <c r="C410" s="43"/>
      <c r="F410" s="96"/>
      <c r="G410" s="72"/>
      <c r="I410" s="73"/>
      <c r="J410" s="73"/>
      <c r="K410" s="19"/>
      <c r="L410" s="19"/>
      <c r="M410" s="73"/>
      <c r="N410" s="27"/>
      <c r="O410" s="31"/>
      <c r="P410" s="19"/>
      <c r="S410" s="19"/>
      <c r="T410" s="19"/>
    </row>
    <row r="411" spans="1:29">
      <c r="A411" s="46"/>
      <c r="B411" s="59"/>
      <c r="C411" s="43"/>
      <c r="F411" s="96"/>
      <c r="G411" s="72"/>
      <c r="I411" s="73"/>
      <c r="J411" s="73"/>
      <c r="K411" s="19"/>
      <c r="L411" s="19"/>
      <c r="M411" s="73"/>
      <c r="N411" s="27"/>
      <c r="O411" s="31"/>
      <c r="P411" s="19"/>
      <c r="S411" s="19"/>
      <c r="T411" s="19"/>
    </row>
    <row r="412" spans="1:29">
      <c r="A412" s="60"/>
      <c r="B412" s="22" t="s">
        <v>192</v>
      </c>
      <c r="C412" s="43"/>
      <c r="F412" s="96"/>
      <c r="G412" s="72"/>
      <c r="I412" s="73"/>
      <c r="J412" s="73"/>
      <c r="K412" s="19"/>
      <c r="L412" s="19"/>
      <c r="M412" s="73"/>
      <c r="N412" s="27"/>
      <c r="O412" s="31"/>
      <c r="P412" s="19"/>
      <c r="S412" s="19"/>
      <c r="T412" s="19"/>
    </row>
    <row r="413" spans="1:29">
      <c r="A413" s="14">
        <v>341</v>
      </c>
      <c r="B413" s="15" t="s">
        <v>162</v>
      </c>
      <c r="C413" s="138">
        <v>54423</v>
      </c>
      <c r="D413" s="102">
        <v>0</v>
      </c>
      <c r="E413" s="152">
        <v>0</v>
      </c>
      <c r="F413" s="98">
        <v>-1</v>
      </c>
      <c r="G413" s="91">
        <f>H413*F413/100</f>
        <v>-232648.9584</v>
      </c>
      <c r="H413" s="74">
        <v>23264895.84</v>
      </c>
      <c r="I413" s="74">
        <v>4770678</v>
      </c>
      <c r="J413" s="74">
        <f t="shared" ref="J413:J418" si="516">H413-G413-I413</f>
        <v>18726866.7984</v>
      </c>
      <c r="K413" s="13">
        <f>2043-2011+5</f>
        <v>37</v>
      </c>
      <c r="L413" s="32">
        <f t="shared" ref="L413:L418" si="517">(1-(D413/2)*K413)*K413</f>
        <v>37</v>
      </c>
      <c r="M413" s="74">
        <f t="shared" ref="M413:M418" si="518">J413/L413</f>
        <v>506131.53509189188</v>
      </c>
      <c r="N413" s="68">
        <f t="shared" ref="N413:N418" si="519">M413/H413</f>
        <v>2.1755160159440106E-2</v>
      </c>
      <c r="O413" s="32">
        <v>31.5</v>
      </c>
      <c r="P413" s="13">
        <v>616617</v>
      </c>
      <c r="Q413" s="119">
        <f t="shared" ref="Q413:Q418" si="520">M413-P413</f>
        <v>-110485.46490810812</v>
      </c>
      <c r="S413" s="13">
        <v>618676</v>
      </c>
      <c r="T413" s="13">
        <f t="shared" ref="T413:T418" si="521">M413-S413</f>
        <v>-112544.46490810812</v>
      </c>
      <c r="W413" s="124">
        <v>0.4200275</v>
      </c>
      <c r="Y413" s="79">
        <f t="shared" ref="Y413:Y418" si="522">M413*W413</f>
        <v>212589.16335580961</v>
      </c>
      <c r="Z413" s="79">
        <f t="shared" ref="Z413:Z418" si="523">P413*W413</f>
        <v>258996.09696749999</v>
      </c>
      <c r="AA413" s="79">
        <f t="shared" ref="AA413:AA418" si="524">Q413*W413</f>
        <v>-46406.93361169038</v>
      </c>
      <c r="AB413" s="79">
        <f t="shared" ref="AB413:AB418" si="525">S413*W413</f>
        <v>259860.93359</v>
      </c>
      <c r="AC413" s="79">
        <f t="shared" ref="AC413:AC418" si="526">T413*W413</f>
        <v>-47271.770234190379</v>
      </c>
    </row>
    <row r="414" spans="1:29">
      <c r="A414" s="14">
        <v>342</v>
      </c>
      <c r="B414" s="15" t="s">
        <v>380</v>
      </c>
      <c r="C414" s="157">
        <v>54423</v>
      </c>
      <c r="D414" s="102">
        <v>2E-3</v>
      </c>
      <c r="E414" s="152">
        <v>2E-3</v>
      </c>
      <c r="F414" s="98">
        <v>-1</v>
      </c>
      <c r="G414" s="91">
        <f t="shared" ref="G414:G418" si="527">H414*F414/100</f>
        <v>-15973.4552</v>
      </c>
      <c r="H414" s="74">
        <v>1597345.52</v>
      </c>
      <c r="I414" s="74">
        <v>334616</v>
      </c>
      <c r="J414" s="74">
        <f t="shared" si="516"/>
        <v>1278702.9752</v>
      </c>
      <c r="K414" s="13">
        <f t="shared" ref="K414:K418" si="528">2043-2011+5</f>
        <v>37</v>
      </c>
      <c r="L414" s="32">
        <f t="shared" si="517"/>
        <v>35.631</v>
      </c>
      <c r="M414" s="74">
        <f t="shared" si="518"/>
        <v>35887.37265863995</v>
      </c>
      <c r="N414" s="68">
        <f t="shared" si="519"/>
        <v>2.2466881591554438E-2</v>
      </c>
      <c r="O414" s="32">
        <v>28.7</v>
      </c>
      <c r="P414" s="13">
        <v>45620</v>
      </c>
      <c r="Q414" s="119">
        <f t="shared" si="520"/>
        <v>-9732.6273413600502</v>
      </c>
      <c r="S414" s="13">
        <v>45694</v>
      </c>
      <c r="T414" s="13">
        <f t="shared" si="521"/>
        <v>-9806.6273413600502</v>
      </c>
      <c r="W414" s="124">
        <v>0.4200275</v>
      </c>
      <c r="Y414" s="79">
        <f t="shared" si="522"/>
        <v>15073.683419376892</v>
      </c>
      <c r="Z414" s="79">
        <f t="shared" si="523"/>
        <v>19161.654549999999</v>
      </c>
      <c r="AA414" s="79">
        <f t="shared" si="524"/>
        <v>-4087.9711306231084</v>
      </c>
      <c r="AB414" s="79">
        <f t="shared" si="525"/>
        <v>19192.736584999999</v>
      </c>
      <c r="AC414" s="79">
        <f t="shared" si="526"/>
        <v>-4119.0531656231087</v>
      </c>
    </row>
    <row r="415" spans="1:29">
      <c r="A415" s="14">
        <v>343</v>
      </c>
      <c r="B415" s="15" t="s">
        <v>83</v>
      </c>
      <c r="C415" s="157">
        <v>54423</v>
      </c>
      <c r="D415" s="102">
        <v>6.0000000000000001E-3</v>
      </c>
      <c r="E415" s="152">
        <v>6.0000000000000001E-3</v>
      </c>
      <c r="F415" s="98">
        <v>-2</v>
      </c>
      <c r="G415" s="91">
        <f t="shared" si="527"/>
        <v>-3831229.8043999998</v>
      </c>
      <c r="H415" s="74">
        <v>191561490.22</v>
      </c>
      <c r="I415" s="74">
        <v>35475369</v>
      </c>
      <c r="J415" s="74">
        <f t="shared" si="516"/>
        <v>159917351.0244</v>
      </c>
      <c r="K415" s="13">
        <f t="shared" si="528"/>
        <v>37</v>
      </c>
      <c r="L415" s="32">
        <f t="shared" si="517"/>
        <v>32.893000000000001</v>
      </c>
      <c r="M415" s="74">
        <f t="shared" si="518"/>
        <v>4861744.1712340005</v>
      </c>
      <c r="N415" s="68">
        <f t="shared" si="519"/>
        <v>2.5379548706008184E-2</v>
      </c>
      <c r="O415" s="32">
        <v>26</v>
      </c>
      <c r="P415" s="13">
        <v>6360655</v>
      </c>
      <c r="Q415" s="119">
        <f t="shared" si="520"/>
        <v>-1498910.8287659995</v>
      </c>
      <c r="S415" s="13">
        <v>6503214</v>
      </c>
      <c r="T415" s="13">
        <f t="shared" si="521"/>
        <v>-1641469.8287659995</v>
      </c>
      <c r="W415" s="124">
        <v>0.4200275</v>
      </c>
      <c r="Y415" s="79">
        <f t="shared" si="522"/>
        <v>2042066.2498829891</v>
      </c>
      <c r="Z415" s="79">
        <f t="shared" si="523"/>
        <v>2671650.0180124999</v>
      </c>
      <c r="AA415" s="79">
        <f t="shared" si="524"/>
        <v>-629583.76812951081</v>
      </c>
      <c r="AB415" s="79">
        <f t="shared" si="525"/>
        <v>2731528.7183849998</v>
      </c>
      <c r="AC415" s="79">
        <f t="shared" si="526"/>
        <v>-689462.46850201092</v>
      </c>
    </row>
    <row r="416" spans="1:29">
      <c r="A416" s="14">
        <v>344</v>
      </c>
      <c r="B416" s="15" t="s">
        <v>84</v>
      </c>
      <c r="C416" s="157">
        <v>54423</v>
      </c>
      <c r="D416" s="102">
        <v>1.5E-3</v>
      </c>
      <c r="E416" s="152">
        <v>1.5E-3</v>
      </c>
      <c r="F416" s="98">
        <v>-1</v>
      </c>
      <c r="G416" s="91">
        <f t="shared" si="527"/>
        <v>-827871.84680000006</v>
      </c>
      <c r="H416" s="74">
        <v>82787184.680000007</v>
      </c>
      <c r="I416" s="74">
        <v>17586081</v>
      </c>
      <c r="J416" s="74">
        <f t="shared" si="516"/>
        <v>66028975.526800007</v>
      </c>
      <c r="K416" s="13">
        <f t="shared" si="528"/>
        <v>37</v>
      </c>
      <c r="L416" s="32">
        <f t="shared" si="517"/>
        <v>35.97325</v>
      </c>
      <c r="M416" s="74">
        <f t="shared" si="518"/>
        <v>1835502.0891023192</v>
      </c>
      <c r="N416" s="68">
        <f t="shared" si="519"/>
        <v>2.2171331181234693E-2</v>
      </c>
      <c r="O416" s="32">
        <v>28.7</v>
      </c>
      <c r="P416" s="13">
        <v>2412833</v>
      </c>
      <c r="Q416" s="119">
        <f t="shared" si="520"/>
        <v>-577330.91089768079</v>
      </c>
      <c r="S416" s="13">
        <v>2420641</v>
      </c>
      <c r="T416" s="13">
        <f t="shared" si="521"/>
        <v>-585138.91089768079</v>
      </c>
      <c r="W416" s="124">
        <v>0.4200275</v>
      </c>
      <c r="Y416" s="79">
        <f t="shared" si="522"/>
        <v>770961.35373042442</v>
      </c>
      <c r="Z416" s="79">
        <f t="shared" si="523"/>
        <v>1013456.2129075</v>
      </c>
      <c r="AA416" s="79">
        <f t="shared" si="524"/>
        <v>-242494.85917707562</v>
      </c>
      <c r="AB416" s="79">
        <f t="shared" si="525"/>
        <v>1016735.7876275</v>
      </c>
      <c r="AC416" s="79">
        <f t="shared" si="526"/>
        <v>-245774.43389707562</v>
      </c>
    </row>
    <row r="417" spans="1:29">
      <c r="A417" s="14">
        <v>345</v>
      </c>
      <c r="B417" s="16" t="s">
        <v>13</v>
      </c>
      <c r="C417" s="157">
        <v>54423</v>
      </c>
      <c r="D417" s="102">
        <v>0</v>
      </c>
      <c r="E417" s="152">
        <v>0</v>
      </c>
      <c r="F417" s="98">
        <v>-1</v>
      </c>
      <c r="G417" s="91">
        <f t="shared" si="527"/>
        <v>-392328.56310000003</v>
      </c>
      <c r="H417" s="74">
        <v>39232856.310000002</v>
      </c>
      <c r="I417" s="74">
        <v>7969692</v>
      </c>
      <c r="J417" s="74">
        <f t="shared" si="516"/>
        <v>31655492.873100005</v>
      </c>
      <c r="K417" s="13">
        <f t="shared" si="528"/>
        <v>37</v>
      </c>
      <c r="L417" s="32">
        <f t="shared" si="517"/>
        <v>37</v>
      </c>
      <c r="M417" s="74">
        <f t="shared" si="518"/>
        <v>855553.86143513524</v>
      </c>
      <c r="N417" s="68">
        <f t="shared" si="519"/>
        <v>2.1807075545938887E-2</v>
      </c>
      <c r="O417" s="32">
        <v>31.2</v>
      </c>
      <c r="P417" s="13">
        <v>1053091</v>
      </c>
      <c r="Q417" s="119">
        <f t="shared" si="520"/>
        <v>-197537.13856486476</v>
      </c>
      <c r="S417" s="13">
        <v>1056105</v>
      </c>
      <c r="T417" s="13">
        <f t="shared" si="521"/>
        <v>-200551.13856486476</v>
      </c>
      <c r="W417" s="124">
        <v>0.4200275</v>
      </c>
      <c r="Y417" s="79">
        <f t="shared" si="522"/>
        <v>359356.14953394624</v>
      </c>
      <c r="Z417" s="79">
        <f t="shared" si="523"/>
        <v>442327.18000250001</v>
      </c>
      <c r="AA417" s="79">
        <f t="shared" si="524"/>
        <v>-82971.030468553727</v>
      </c>
      <c r="AB417" s="79">
        <f t="shared" si="525"/>
        <v>443593.1428875</v>
      </c>
      <c r="AC417" s="79">
        <f t="shared" si="526"/>
        <v>-84236.993353553728</v>
      </c>
    </row>
    <row r="418" spans="1:29">
      <c r="A418" s="14">
        <v>346</v>
      </c>
      <c r="B418" s="15" t="s">
        <v>378</v>
      </c>
      <c r="C418" s="157">
        <v>54423</v>
      </c>
      <c r="D418" s="102">
        <v>0</v>
      </c>
      <c r="E418" s="152">
        <v>0</v>
      </c>
      <c r="F418" s="98">
        <v>-1</v>
      </c>
      <c r="G418" s="91">
        <f t="shared" si="527"/>
        <v>-32398.855499999998</v>
      </c>
      <c r="H418" s="74">
        <v>3239885.55</v>
      </c>
      <c r="I418" s="74">
        <v>670002</v>
      </c>
      <c r="J418" s="74">
        <f t="shared" si="516"/>
        <v>2602282.4054999999</v>
      </c>
      <c r="K418" s="13">
        <f t="shared" si="528"/>
        <v>37</v>
      </c>
      <c r="L418" s="32">
        <f t="shared" si="517"/>
        <v>37</v>
      </c>
      <c r="M418" s="74">
        <f t="shared" si="518"/>
        <v>70331.956905405401</v>
      </c>
      <c r="N418" s="88">
        <f t="shared" si="519"/>
        <v>2.1708160927291213E-2</v>
      </c>
      <c r="O418" s="32">
        <v>30.7</v>
      </c>
      <c r="P418" s="13">
        <v>87844</v>
      </c>
      <c r="Q418" s="119">
        <f t="shared" si="520"/>
        <v>-17512.043094594599</v>
      </c>
      <c r="S418" s="13">
        <v>88122</v>
      </c>
      <c r="T418" s="13">
        <f t="shared" si="521"/>
        <v>-17790.043094594599</v>
      </c>
      <c r="W418" s="124">
        <v>0.4200275</v>
      </c>
      <c r="Y418" s="79">
        <f t="shared" si="522"/>
        <v>29541.356029085167</v>
      </c>
      <c r="Z418" s="79">
        <f t="shared" si="523"/>
        <v>36896.895709999997</v>
      </c>
      <c r="AA418" s="79">
        <f t="shared" si="524"/>
        <v>-7355.5396809148333</v>
      </c>
      <c r="AB418" s="79">
        <f t="shared" si="525"/>
        <v>37013.663354999997</v>
      </c>
      <c r="AC418" s="79">
        <f t="shared" si="526"/>
        <v>-7472.3073259148332</v>
      </c>
    </row>
    <row r="419" spans="1:29">
      <c r="A419" s="14"/>
      <c r="B419" s="33" t="s">
        <v>250</v>
      </c>
      <c r="C419" s="23"/>
      <c r="D419" s="102"/>
      <c r="E419" s="152"/>
      <c r="F419" s="99"/>
      <c r="G419" s="72"/>
      <c r="H419" s="75">
        <f>+SUBTOTAL(9,H413:H418)</f>
        <v>341683658.12</v>
      </c>
      <c r="I419" s="75">
        <f>+SUBTOTAL(9,I413:I418)</f>
        <v>66806438</v>
      </c>
      <c r="J419" s="75">
        <f>+SUBTOTAL(9,J413:J418)</f>
        <v>280209671.60339999</v>
      </c>
      <c r="K419" s="13"/>
      <c r="L419" s="13"/>
      <c r="M419" s="75">
        <f>+SUBTOTAL(9,M413:M418)</f>
        <v>8165150.9864273919</v>
      </c>
      <c r="N419" s="27">
        <f>+ROUND(M419/H419*100,2)</f>
        <v>2.39</v>
      </c>
      <c r="O419" s="31"/>
      <c r="P419" s="103">
        <f>+SUBTOTAL(9,P413:P418)</f>
        <v>10576660</v>
      </c>
      <c r="Q419" s="120">
        <f>+SUBTOTAL(9,Q413:Q418)</f>
        <v>-2411509.0135726077</v>
      </c>
      <c r="S419" s="103">
        <f>+SUBTOTAL(9,S413:S418)</f>
        <v>10732452</v>
      </c>
      <c r="T419" s="103">
        <f>+SUBTOTAL(9,T413:T418)</f>
        <v>-2567301.0135726077</v>
      </c>
      <c r="Y419" s="75">
        <f t="shared" ref="Y419:AC419" si="529">+SUBTOTAL(9,Y413:Y418)</f>
        <v>3429587.9559516315</v>
      </c>
      <c r="Z419" s="75">
        <f t="shared" si="529"/>
        <v>4442488.0581499999</v>
      </c>
      <c r="AA419" s="75">
        <f t="shared" si="529"/>
        <v>-1012900.1021983685</v>
      </c>
      <c r="AB419" s="75">
        <f t="shared" si="529"/>
        <v>4507924.9824299999</v>
      </c>
      <c r="AC419" s="75">
        <f t="shared" si="529"/>
        <v>-1078337.0264783686</v>
      </c>
    </row>
    <row r="420" spans="1:29">
      <c r="A420" s="14"/>
      <c r="B420" s="17"/>
      <c r="C420" s="43"/>
      <c r="E420" s="153"/>
      <c r="F420" s="99"/>
      <c r="G420" s="72"/>
      <c r="I420" s="73"/>
      <c r="J420" s="73"/>
      <c r="K420" s="19"/>
      <c r="L420" s="19"/>
      <c r="M420" s="73"/>
      <c r="N420" s="27"/>
      <c r="O420" s="31"/>
      <c r="P420" s="19"/>
      <c r="S420" s="19"/>
      <c r="T420" s="19"/>
    </row>
    <row r="421" spans="1:29">
      <c r="A421" s="60"/>
      <c r="B421" s="22" t="s">
        <v>93</v>
      </c>
      <c r="C421" s="43"/>
      <c r="E421" s="153"/>
      <c r="F421" s="99"/>
      <c r="G421" s="72"/>
      <c r="I421" s="73"/>
      <c r="J421" s="73"/>
      <c r="K421" s="19"/>
      <c r="L421" s="19"/>
      <c r="M421" s="73"/>
      <c r="N421" s="27"/>
      <c r="O421" s="31"/>
      <c r="P421" s="19"/>
      <c r="S421" s="19"/>
      <c r="T421" s="19"/>
    </row>
    <row r="422" spans="1:29">
      <c r="A422" s="14">
        <v>341</v>
      </c>
      <c r="B422" s="15" t="s">
        <v>162</v>
      </c>
      <c r="C422" s="138">
        <v>55153</v>
      </c>
      <c r="D422" s="102">
        <f t="shared" ref="D422:E427" si="530">($E$412)</f>
        <v>0</v>
      </c>
      <c r="E422" s="152">
        <f t="shared" si="530"/>
        <v>0</v>
      </c>
      <c r="F422" s="98">
        <v>-1</v>
      </c>
      <c r="G422" s="91">
        <f t="shared" ref="G422:G427" si="531">H422*F422/100</f>
        <v>-441106.51130000001</v>
      </c>
      <c r="H422" s="74">
        <v>44110651.130000003</v>
      </c>
      <c r="I422" s="74">
        <v>7483195</v>
      </c>
      <c r="J422" s="74">
        <f t="shared" ref="J422:J427" si="532">H422-G422-I422</f>
        <v>37068562.6413</v>
      </c>
      <c r="K422" s="13">
        <f>2045-2011+5</f>
        <v>39</v>
      </c>
      <c r="L422" s="32">
        <f t="shared" ref="L422:L427" si="533">(1-(D422/2)*K422)*K422</f>
        <v>39</v>
      </c>
      <c r="M422" s="74">
        <f t="shared" ref="M422:M427" si="534">J422/L422</f>
        <v>950475.96516153845</v>
      </c>
      <c r="N422" s="68">
        <f t="shared" ref="N422:N427" si="535">M422/H422</f>
        <v>2.1547538764738666E-2</v>
      </c>
      <c r="O422" s="32">
        <v>33.5</v>
      </c>
      <c r="P422" s="13">
        <v>1146048</v>
      </c>
      <c r="Q422" s="119">
        <f t="shared" ref="Q422:Q427" si="536">M422-P422</f>
        <v>-195572.03483846155</v>
      </c>
      <c r="S422" s="13">
        <v>1146839</v>
      </c>
      <c r="T422" s="13">
        <f t="shared" ref="T422:T427" si="537">M422-S422</f>
        <v>-196363.03483846155</v>
      </c>
      <c r="W422" s="124">
        <v>0.4200275</v>
      </c>
      <c r="Y422" s="79">
        <f t="shared" ref="Y422:Y427" si="538">M422*W422</f>
        <v>399226.04345688812</v>
      </c>
      <c r="Z422" s="79">
        <f t="shared" ref="Z422:Z427" si="539">P422*W422</f>
        <v>481371.67631999997</v>
      </c>
      <c r="AA422" s="79">
        <f t="shared" ref="AA422:AA427" si="540">Q422*W422</f>
        <v>-82145.63286311191</v>
      </c>
      <c r="AB422" s="79">
        <f t="shared" ref="AB422:AB427" si="541">S422*W422</f>
        <v>481703.91807249998</v>
      </c>
      <c r="AC422" s="79">
        <f t="shared" ref="AC422:AC427" si="542">T422*W422</f>
        <v>-82477.874615611901</v>
      </c>
    </row>
    <row r="423" spans="1:29">
      <c r="A423" s="14">
        <v>342</v>
      </c>
      <c r="B423" s="15" t="s">
        <v>380</v>
      </c>
      <c r="C423" s="157">
        <v>55153</v>
      </c>
      <c r="D423" s="102">
        <v>2E-3</v>
      </c>
      <c r="E423" s="152">
        <v>2E-3</v>
      </c>
      <c r="F423" s="98">
        <v>-1</v>
      </c>
      <c r="G423" s="91">
        <f t="shared" si="531"/>
        <v>-32997.352200000001</v>
      </c>
      <c r="H423" s="74">
        <v>3299735.22</v>
      </c>
      <c r="I423" s="74">
        <v>572985</v>
      </c>
      <c r="J423" s="74">
        <f t="shared" si="532"/>
        <v>2759747.5722000003</v>
      </c>
      <c r="K423" s="13">
        <f t="shared" ref="K423:K427" si="543">2045-2011+5</f>
        <v>39</v>
      </c>
      <c r="L423" s="32">
        <f t="shared" si="533"/>
        <v>37.478999999999999</v>
      </c>
      <c r="M423" s="74">
        <f t="shared" si="534"/>
        <v>73634.503914191955</v>
      </c>
      <c r="N423" s="68">
        <f t="shared" si="535"/>
        <v>2.2315276531246028E-2</v>
      </c>
      <c r="O423" s="32">
        <v>30.5</v>
      </c>
      <c r="P423" s="13">
        <v>92496</v>
      </c>
      <c r="Q423" s="119">
        <f t="shared" si="536"/>
        <v>-18861.496085808045</v>
      </c>
      <c r="S423" s="13">
        <v>92242</v>
      </c>
      <c r="T423" s="13">
        <f t="shared" si="537"/>
        <v>-18607.496085808045</v>
      </c>
      <c r="W423" s="124">
        <v>0.4200275</v>
      </c>
      <c r="Y423" s="79">
        <f t="shared" si="538"/>
        <v>30928.516592818261</v>
      </c>
      <c r="Z423" s="79">
        <f t="shared" si="539"/>
        <v>38850.863640000003</v>
      </c>
      <c r="AA423" s="79">
        <f t="shared" si="540"/>
        <v>-7922.3470471817382</v>
      </c>
      <c r="AB423" s="79">
        <f t="shared" si="541"/>
        <v>38744.176655000003</v>
      </c>
      <c r="AC423" s="79">
        <f t="shared" si="542"/>
        <v>-7815.6600621817388</v>
      </c>
    </row>
    <row r="424" spans="1:29">
      <c r="A424" s="14">
        <v>343</v>
      </c>
      <c r="B424" s="15" t="s">
        <v>83</v>
      </c>
      <c r="C424" s="157">
        <v>55153</v>
      </c>
      <c r="D424" s="102">
        <v>6.0000000000000001E-3</v>
      </c>
      <c r="E424" s="152">
        <v>6.0000000000000001E-3</v>
      </c>
      <c r="F424" s="98">
        <v>-2</v>
      </c>
      <c r="G424" s="91">
        <f t="shared" si="531"/>
        <v>-3667778.2433999996</v>
      </c>
      <c r="H424" s="74">
        <v>183388912.16999999</v>
      </c>
      <c r="I424" s="74">
        <v>26903906</v>
      </c>
      <c r="J424" s="74">
        <f t="shared" si="532"/>
        <v>160152784.41339999</v>
      </c>
      <c r="K424" s="13">
        <f t="shared" si="543"/>
        <v>39</v>
      </c>
      <c r="L424" s="32">
        <f t="shared" si="533"/>
        <v>34.436999999999998</v>
      </c>
      <c r="M424" s="74">
        <f t="shared" si="534"/>
        <v>4650602.0969712809</v>
      </c>
      <c r="N424" s="68">
        <f t="shared" si="535"/>
        <v>2.5359232692651622E-2</v>
      </c>
      <c r="O424" s="32">
        <v>27.6</v>
      </c>
      <c r="P424" s="13">
        <v>5996075</v>
      </c>
      <c r="Q424" s="119">
        <f t="shared" si="536"/>
        <v>-1345472.9030287191</v>
      </c>
      <c r="S424" s="13">
        <v>6812935</v>
      </c>
      <c r="T424" s="13">
        <f t="shared" si="537"/>
        <v>-2162332.9030287191</v>
      </c>
      <c r="W424" s="124">
        <v>0.4200275</v>
      </c>
      <c r="Y424" s="79">
        <f t="shared" si="538"/>
        <v>1953380.7722856046</v>
      </c>
      <c r="Z424" s="79">
        <f t="shared" si="539"/>
        <v>2518516.3920625001</v>
      </c>
      <c r="AA424" s="79">
        <f t="shared" si="540"/>
        <v>-565135.61977689527</v>
      </c>
      <c r="AB424" s="79">
        <f t="shared" si="541"/>
        <v>2861620.0557125001</v>
      </c>
      <c r="AC424" s="79">
        <f t="shared" si="542"/>
        <v>-908239.28342689527</v>
      </c>
    </row>
    <row r="425" spans="1:29">
      <c r="A425" s="14">
        <v>344</v>
      </c>
      <c r="B425" s="15" t="s">
        <v>84</v>
      </c>
      <c r="C425" s="157">
        <v>55153</v>
      </c>
      <c r="D425" s="102">
        <v>1.5E-3</v>
      </c>
      <c r="E425" s="152">
        <v>1.5E-3</v>
      </c>
      <c r="F425" s="98">
        <v>-1</v>
      </c>
      <c r="G425" s="91">
        <f t="shared" si="531"/>
        <v>-759589.25689999992</v>
      </c>
      <c r="H425" s="74">
        <v>75958925.689999998</v>
      </c>
      <c r="I425" s="74">
        <v>12270691</v>
      </c>
      <c r="J425" s="74">
        <f t="shared" si="532"/>
        <v>64447823.946899995</v>
      </c>
      <c r="K425" s="13">
        <f t="shared" si="543"/>
        <v>39</v>
      </c>
      <c r="L425" s="32">
        <f t="shared" si="533"/>
        <v>37.859250000000003</v>
      </c>
      <c r="M425" s="74">
        <f t="shared" si="534"/>
        <v>1702300.5988470451</v>
      </c>
      <c r="N425" s="68">
        <f t="shared" si="535"/>
        <v>2.2410804041573657E-2</v>
      </c>
      <c r="O425" s="32">
        <v>30.7</v>
      </c>
      <c r="P425" s="13">
        <v>2200476</v>
      </c>
      <c r="Q425" s="119">
        <f t="shared" si="536"/>
        <v>-498175.4011529549</v>
      </c>
      <c r="S425" s="13">
        <v>2178156</v>
      </c>
      <c r="T425" s="13">
        <f t="shared" si="537"/>
        <v>-475855.4011529549</v>
      </c>
      <c r="W425" s="124">
        <v>0.4200275</v>
      </c>
      <c r="Y425" s="79">
        <f t="shared" si="538"/>
        <v>715013.06478222727</v>
      </c>
      <c r="Z425" s="79">
        <f t="shared" si="539"/>
        <v>924260.43308999995</v>
      </c>
      <c r="AA425" s="79">
        <f t="shared" si="540"/>
        <v>-209247.36830777276</v>
      </c>
      <c r="AB425" s="79">
        <f t="shared" si="541"/>
        <v>914885.41928999999</v>
      </c>
      <c r="AC425" s="79">
        <f t="shared" si="542"/>
        <v>-199872.35450777278</v>
      </c>
    </row>
    <row r="426" spans="1:29">
      <c r="A426" s="14">
        <v>345</v>
      </c>
      <c r="B426" s="16" t="s">
        <v>13</v>
      </c>
      <c r="C426" s="157">
        <v>55153</v>
      </c>
      <c r="D426" s="102">
        <f t="shared" si="530"/>
        <v>0</v>
      </c>
      <c r="E426" s="152">
        <f t="shared" si="530"/>
        <v>0</v>
      </c>
      <c r="F426" s="98">
        <v>-1</v>
      </c>
      <c r="G426" s="91">
        <f t="shared" si="531"/>
        <v>-424018.24549999996</v>
      </c>
      <c r="H426" s="74">
        <v>42401824.549999997</v>
      </c>
      <c r="I426" s="74">
        <v>6842125</v>
      </c>
      <c r="J426" s="74">
        <f t="shared" si="532"/>
        <v>35983717.795499995</v>
      </c>
      <c r="K426" s="13">
        <f t="shared" si="543"/>
        <v>39</v>
      </c>
      <c r="L426" s="32">
        <f t="shared" si="533"/>
        <v>39</v>
      </c>
      <c r="M426" s="74">
        <f t="shared" si="534"/>
        <v>922659.43065384601</v>
      </c>
      <c r="N426" s="68">
        <f t="shared" si="535"/>
        <v>2.1759899260133279E-2</v>
      </c>
      <c r="O426" s="32">
        <v>33.200000000000003</v>
      </c>
      <c r="P426" s="13">
        <v>1123463</v>
      </c>
      <c r="Q426" s="119">
        <f t="shared" si="536"/>
        <v>-200803.56934615399</v>
      </c>
      <c r="S426" s="13">
        <v>1124567</v>
      </c>
      <c r="T426" s="13">
        <f t="shared" si="537"/>
        <v>-201907.56934615399</v>
      </c>
      <c r="W426" s="124">
        <v>0.4200275</v>
      </c>
      <c r="Y426" s="79">
        <f t="shared" si="538"/>
        <v>387542.33400895831</v>
      </c>
      <c r="Z426" s="79">
        <f t="shared" si="539"/>
        <v>471885.35523250001</v>
      </c>
      <c r="AA426" s="79">
        <f t="shared" si="540"/>
        <v>-84343.021223541698</v>
      </c>
      <c r="AB426" s="79">
        <f t="shared" si="541"/>
        <v>472349.06559249997</v>
      </c>
      <c r="AC426" s="79">
        <f t="shared" si="542"/>
        <v>-84806.731583541696</v>
      </c>
    </row>
    <row r="427" spans="1:29">
      <c r="A427" s="14">
        <v>346</v>
      </c>
      <c r="B427" s="15" t="s">
        <v>378</v>
      </c>
      <c r="C427" s="157">
        <v>55153</v>
      </c>
      <c r="D427" s="102">
        <f t="shared" si="530"/>
        <v>0</v>
      </c>
      <c r="E427" s="152">
        <f t="shared" si="530"/>
        <v>0</v>
      </c>
      <c r="F427" s="98">
        <v>-1</v>
      </c>
      <c r="G427" s="91">
        <f t="shared" si="531"/>
        <v>-29697.6175</v>
      </c>
      <c r="H427" s="74">
        <v>2969761.75</v>
      </c>
      <c r="I427" s="74">
        <v>520979</v>
      </c>
      <c r="J427" s="74">
        <f t="shared" si="532"/>
        <v>2478480.3675000002</v>
      </c>
      <c r="K427" s="13">
        <f t="shared" si="543"/>
        <v>39</v>
      </c>
      <c r="L427" s="32">
        <f t="shared" si="533"/>
        <v>39</v>
      </c>
      <c r="M427" s="74">
        <f t="shared" si="534"/>
        <v>63550.778653846159</v>
      </c>
      <c r="N427" s="88">
        <f t="shared" si="535"/>
        <v>2.1399285196479535E-2</v>
      </c>
      <c r="O427" s="32">
        <v>32.700000000000003</v>
      </c>
      <c r="P427" s="13">
        <v>78591</v>
      </c>
      <c r="Q427" s="119">
        <f t="shared" si="536"/>
        <v>-15040.221346153841</v>
      </c>
      <c r="S427" s="13">
        <v>78635</v>
      </c>
      <c r="T427" s="13">
        <f t="shared" si="537"/>
        <v>-15084.221346153841</v>
      </c>
      <c r="W427" s="124">
        <v>0.4200275</v>
      </c>
      <c r="Y427" s="79">
        <f t="shared" si="538"/>
        <v>26693.074681028367</v>
      </c>
      <c r="Z427" s="79">
        <f t="shared" si="539"/>
        <v>33010.381252500003</v>
      </c>
      <c r="AA427" s="79">
        <f t="shared" si="540"/>
        <v>-6317.3065714716322</v>
      </c>
      <c r="AB427" s="79">
        <f t="shared" si="541"/>
        <v>33028.862462500001</v>
      </c>
      <c r="AC427" s="79">
        <f t="shared" si="542"/>
        <v>-6335.7877814716321</v>
      </c>
    </row>
    <row r="428" spans="1:29">
      <c r="A428" s="14"/>
      <c r="B428" s="33" t="s">
        <v>251</v>
      </c>
      <c r="C428" s="23"/>
      <c r="D428" s="102"/>
      <c r="E428" s="152"/>
      <c r="F428" s="99"/>
      <c r="G428" s="72"/>
      <c r="H428" s="75">
        <f>+SUBTOTAL(9,H422:H427)</f>
        <v>352129810.50999999</v>
      </c>
      <c r="I428" s="75">
        <f>+SUBTOTAL(9,I422:I427)</f>
        <v>54593881</v>
      </c>
      <c r="J428" s="75">
        <f>+SUBTOTAL(9,J422:J427)</f>
        <v>302891116.73679996</v>
      </c>
      <c r="K428" s="13"/>
      <c r="L428" s="13"/>
      <c r="M428" s="75">
        <f>+SUBTOTAL(9,M422:M427)</f>
        <v>8363223.3742017476</v>
      </c>
      <c r="N428" s="27">
        <f>+ROUND(M428/H428*100,2)</f>
        <v>2.38</v>
      </c>
      <c r="O428" s="31"/>
      <c r="P428" s="103">
        <f>+SUBTOTAL(9,P422:P427)</f>
        <v>10637149</v>
      </c>
      <c r="Q428" s="120">
        <f>+SUBTOTAL(9,Q422:Q427)</f>
        <v>-2273925.6257982515</v>
      </c>
      <c r="S428" s="103">
        <f>+SUBTOTAL(9,S422:S427)</f>
        <v>11433374</v>
      </c>
      <c r="T428" s="103">
        <f>+SUBTOTAL(9,T422:T427)</f>
        <v>-3070150.6257982515</v>
      </c>
      <c r="Y428" s="75">
        <f t="shared" ref="Y428:AC428" si="544">+SUBTOTAL(9,Y422:Y427)</f>
        <v>3512783.8058075248</v>
      </c>
      <c r="Z428" s="75">
        <f t="shared" si="544"/>
        <v>4467895.1015975</v>
      </c>
      <c r="AA428" s="75">
        <f t="shared" si="544"/>
        <v>-955111.29578997497</v>
      </c>
      <c r="AB428" s="75">
        <f t="shared" si="544"/>
        <v>4802331.4977850001</v>
      </c>
      <c r="AC428" s="75">
        <f t="shared" si="544"/>
        <v>-1289547.6919774751</v>
      </c>
    </row>
    <row r="429" spans="1:29">
      <c r="A429" s="14"/>
      <c r="B429" s="17"/>
      <c r="C429" s="43"/>
      <c r="E429" s="153"/>
      <c r="F429" s="99"/>
      <c r="G429" s="72"/>
      <c r="I429" s="73"/>
      <c r="J429" s="73"/>
      <c r="K429" s="19"/>
      <c r="L429" s="19"/>
      <c r="M429" s="73"/>
      <c r="N429" s="27"/>
      <c r="O429" s="31"/>
      <c r="P429" s="19"/>
      <c r="S429" s="19"/>
      <c r="T429" s="19"/>
    </row>
    <row r="430" spans="1:29">
      <c r="A430" s="60"/>
      <c r="B430" s="22" t="s">
        <v>86</v>
      </c>
      <c r="C430" s="43"/>
      <c r="E430" s="153"/>
      <c r="F430" s="99"/>
      <c r="G430" s="72"/>
      <c r="I430" s="73"/>
      <c r="J430" s="73"/>
      <c r="K430" s="19"/>
      <c r="L430" s="19"/>
      <c r="M430" s="73"/>
      <c r="N430" s="27"/>
      <c r="O430" s="31"/>
      <c r="P430" s="19"/>
      <c r="S430" s="19"/>
      <c r="T430" s="19"/>
    </row>
    <row r="431" spans="1:29">
      <c r="A431" s="14">
        <v>341</v>
      </c>
      <c r="B431" s="15" t="s">
        <v>162</v>
      </c>
      <c r="C431" s="138">
        <v>51866</v>
      </c>
      <c r="D431" s="102">
        <f t="shared" ref="D431:E436" si="545">($E$412)</f>
        <v>0</v>
      </c>
      <c r="E431" s="152">
        <f t="shared" si="545"/>
        <v>0</v>
      </c>
      <c r="F431" s="98">
        <v>-1</v>
      </c>
      <c r="G431" s="91">
        <f t="shared" ref="G431:G436" si="546">H431*F431/100</f>
        <v>-128449.9602</v>
      </c>
      <c r="H431" s="74">
        <v>12844996.02</v>
      </c>
      <c r="I431" s="74">
        <v>4318895</v>
      </c>
      <c r="J431" s="74">
        <f t="shared" ref="J431:J436" si="547">H431-G431-I431</f>
        <v>8654550.9802000001</v>
      </c>
      <c r="K431" s="13">
        <f>2036-2011+5</f>
        <v>30</v>
      </c>
      <c r="L431" s="32">
        <f t="shared" ref="L431:L436" si="548">(1-(D431/2)*K431)*K431</f>
        <v>30</v>
      </c>
      <c r="M431" s="74">
        <f t="shared" ref="M431:M436" si="549">J431/L431</f>
        <v>288485.03267333336</v>
      </c>
      <c r="N431" s="68">
        <f t="shared" ref="N431:N436" si="550">M431/H431</f>
        <v>2.2458942939659499E-2</v>
      </c>
      <c r="O431" s="32">
        <v>24.6</v>
      </c>
      <c r="P431" s="13">
        <v>368006</v>
      </c>
      <c r="Q431" s="119">
        <f t="shared" ref="Q431:Q436" si="551">M431-P431</f>
        <v>-79520.967326666636</v>
      </c>
      <c r="S431" s="13">
        <v>369729</v>
      </c>
      <c r="T431" s="13">
        <f t="shared" ref="T431:T436" si="552">M431-S431</f>
        <v>-81243.967326666636</v>
      </c>
      <c r="W431" s="124">
        <v>0.4200275</v>
      </c>
      <c r="Y431" s="79">
        <f t="shared" ref="Y431:Y436" si="553">M431*W431</f>
        <v>121171.64706119853</v>
      </c>
      <c r="Z431" s="79">
        <f t="shared" ref="Z431:Z436" si="554">P431*W431</f>
        <v>154572.64016499999</v>
      </c>
      <c r="AA431" s="79">
        <f t="shared" ref="AA431:AA436" si="555">Q431*W431</f>
        <v>-33400.993103801469</v>
      </c>
      <c r="AB431" s="79">
        <f t="shared" ref="AB431:AB436" si="556">S431*W431</f>
        <v>155296.34754749999</v>
      </c>
      <c r="AC431" s="79">
        <f t="shared" ref="AC431:AC436" si="557">T431*W431</f>
        <v>-34124.700486301474</v>
      </c>
    </row>
    <row r="432" spans="1:29">
      <c r="A432" s="14">
        <v>342</v>
      </c>
      <c r="B432" s="15" t="s">
        <v>380</v>
      </c>
      <c r="C432" s="157">
        <v>51866</v>
      </c>
      <c r="D432" s="102">
        <v>2E-3</v>
      </c>
      <c r="E432" s="152">
        <v>2E-3</v>
      </c>
      <c r="F432" s="98">
        <v>-1</v>
      </c>
      <c r="G432" s="91">
        <f t="shared" si="546"/>
        <v>-253.21619999999999</v>
      </c>
      <c r="H432" s="74">
        <v>25321.62</v>
      </c>
      <c r="I432" s="74">
        <v>8889</v>
      </c>
      <c r="J432" s="74">
        <f t="shared" si="547"/>
        <v>16685.836199999998</v>
      </c>
      <c r="K432" s="13">
        <f t="shared" ref="K432:K436" si="558">2036-2011+5</f>
        <v>30</v>
      </c>
      <c r="L432" s="32">
        <f t="shared" si="548"/>
        <v>29.099999999999998</v>
      </c>
      <c r="M432" s="74">
        <f t="shared" si="549"/>
        <v>573.39643298969065</v>
      </c>
      <c r="N432" s="68">
        <f t="shared" si="550"/>
        <v>2.2644539843410125E-2</v>
      </c>
      <c r="O432" s="32">
        <v>22.5</v>
      </c>
      <c r="P432" s="13">
        <v>765</v>
      </c>
      <c r="Q432" s="119">
        <f t="shared" si="551"/>
        <v>-191.60356701030935</v>
      </c>
      <c r="S432" s="13">
        <v>764</v>
      </c>
      <c r="T432" s="13">
        <f t="shared" si="552"/>
        <v>-190.60356701030935</v>
      </c>
      <c r="W432" s="124">
        <v>0.4200275</v>
      </c>
      <c r="Y432" s="79">
        <f t="shared" si="553"/>
        <v>240.8422702575773</v>
      </c>
      <c r="Z432" s="79">
        <f t="shared" si="554"/>
        <v>321.32103749999999</v>
      </c>
      <c r="AA432" s="79">
        <f t="shared" si="555"/>
        <v>-80.478767242422705</v>
      </c>
      <c r="AB432" s="79">
        <f t="shared" si="556"/>
        <v>320.90100999999999</v>
      </c>
      <c r="AC432" s="79">
        <f t="shared" si="557"/>
        <v>-80.058739742422716</v>
      </c>
    </row>
    <row r="433" spans="1:29">
      <c r="A433" s="14">
        <v>343</v>
      </c>
      <c r="B433" s="15" t="s">
        <v>83</v>
      </c>
      <c r="C433" s="157">
        <v>51866</v>
      </c>
      <c r="D433" s="102">
        <v>6.0000000000000001E-3</v>
      </c>
      <c r="E433" s="152">
        <v>6.0000000000000001E-3</v>
      </c>
      <c r="F433" s="98">
        <v>-1</v>
      </c>
      <c r="G433" s="91">
        <f t="shared" si="546"/>
        <v>-1072538.9687999999</v>
      </c>
      <c r="H433" s="74">
        <v>107253896.88</v>
      </c>
      <c r="I433" s="74">
        <v>31307539</v>
      </c>
      <c r="J433" s="74">
        <f t="shared" si="547"/>
        <v>77018896.848799989</v>
      </c>
      <c r="K433" s="13">
        <f t="shared" si="558"/>
        <v>30</v>
      </c>
      <c r="L433" s="32">
        <f t="shared" si="548"/>
        <v>27.3</v>
      </c>
      <c r="M433" s="74">
        <f t="shared" si="549"/>
        <v>2821205.0127765564</v>
      </c>
      <c r="N433" s="68">
        <f t="shared" si="550"/>
        <v>2.6303986100691845E-2</v>
      </c>
      <c r="O433" s="32">
        <v>20.9</v>
      </c>
      <c r="P433" s="13">
        <v>3841289</v>
      </c>
      <c r="Q433" s="119">
        <f t="shared" si="551"/>
        <v>-1020083.9872234436</v>
      </c>
      <c r="S433" s="13">
        <v>4058486</v>
      </c>
      <c r="T433" s="13">
        <f t="shared" si="552"/>
        <v>-1237280.9872234436</v>
      </c>
      <c r="W433" s="124">
        <v>0.4200275</v>
      </c>
      <c r="Y433" s="79">
        <f t="shared" si="553"/>
        <v>1184983.6885040051</v>
      </c>
      <c r="Z433" s="79">
        <f t="shared" si="554"/>
        <v>1613447.0154474999</v>
      </c>
      <c r="AA433" s="79">
        <f t="shared" si="555"/>
        <v>-428463.32694349496</v>
      </c>
      <c r="AB433" s="79">
        <f t="shared" si="556"/>
        <v>1704675.7283650001</v>
      </c>
      <c r="AC433" s="79">
        <f t="shared" si="557"/>
        <v>-519692.03986099496</v>
      </c>
    </row>
    <row r="434" spans="1:29">
      <c r="A434" s="14">
        <v>344</v>
      </c>
      <c r="B434" s="15" t="s">
        <v>84</v>
      </c>
      <c r="C434" s="157">
        <v>51866</v>
      </c>
      <c r="D434" s="102">
        <v>1.5E-3</v>
      </c>
      <c r="E434" s="152">
        <v>1.5E-3</v>
      </c>
      <c r="F434" s="98">
        <v>-1</v>
      </c>
      <c r="G434" s="91">
        <f t="shared" si="546"/>
        <v>-400743.79619999998</v>
      </c>
      <c r="H434" s="74">
        <v>40074379.619999997</v>
      </c>
      <c r="I434" s="74">
        <v>13702379</v>
      </c>
      <c r="J434" s="74">
        <f t="shared" si="547"/>
        <v>26772744.416199997</v>
      </c>
      <c r="K434" s="13">
        <f t="shared" si="558"/>
        <v>30</v>
      </c>
      <c r="L434" s="32">
        <f t="shared" si="548"/>
        <v>29.325000000000003</v>
      </c>
      <c r="M434" s="74">
        <f t="shared" si="549"/>
        <v>912966.56150724622</v>
      </c>
      <c r="N434" s="68">
        <f t="shared" si="550"/>
        <v>2.2781801494229752E-2</v>
      </c>
      <c r="O434" s="32">
        <v>22.6</v>
      </c>
      <c r="P434" s="13">
        <v>1240517</v>
      </c>
      <c r="Q434" s="119">
        <f t="shared" si="551"/>
        <v>-327550.43849275378</v>
      </c>
      <c r="S434" s="13">
        <v>1243244</v>
      </c>
      <c r="T434" s="13">
        <f t="shared" si="552"/>
        <v>-330277.43849275378</v>
      </c>
      <c r="W434" s="124">
        <v>0.4200275</v>
      </c>
      <c r="Y434" s="79">
        <f t="shared" si="553"/>
        <v>383471.06241348485</v>
      </c>
      <c r="Z434" s="79">
        <f t="shared" si="554"/>
        <v>521051.25421749998</v>
      </c>
      <c r="AA434" s="79">
        <f t="shared" si="555"/>
        <v>-137580.19180401514</v>
      </c>
      <c r="AB434" s="79">
        <f t="shared" si="556"/>
        <v>522196.66921000002</v>
      </c>
      <c r="AC434" s="79">
        <f t="shared" si="557"/>
        <v>-138725.60679651515</v>
      </c>
    </row>
    <row r="435" spans="1:29">
      <c r="A435" s="14">
        <v>345</v>
      </c>
      <c r="B435" s="16" t="s">
        <v>13</v>
      </c>
      <c r="C435" s="157">
        <v>51866</v>
      </c>
      <c r="D435" s="102">
        <f t="shared" si="545"/>
        <v>0</v>
      </c>
      <c r="E435" s="152">
        <f t="shared" si="545"/>
        <v>0</v>
      </c>
      <c r="F435" s="98">
        <v>-1</v>
      </c>
      <c r="G435" s="91">
        <f t="shared" si="546"/>
        <v>-91152.529600000009</v>
      </c>
      <c r="H435" s="74">
        <v>9115252.9600000009</v>
      </c>
      <c r="I435" s="74">
        <v>3189999</v>
      </c>
      <c r="J435" s="74">
        <f t="shared" si="547"/>
        <v>6016406.4896000009</v>
      </c>
      <c r="K435" s="13">
        <f t="shared" si="558"/>
        <v>30</v>
      </c>
      <c r="L435" s="32">
        <f t="shared" si="548"/>
        <v>30</v>
      </c>
      <c r="M435" s="74">
        <f t="shared" si="549"/>
        <v>200546.88298666669</v>
      </c>
      <c r="N435" s="68">
        <f t="shared" si="550"/>
        <v>2.2001241640436785E-2</v>
      </c>
      <c r="O435" s="32">
        <v>24.3</v>
      </c>
      <c r="P435" s="13">
        <v>258633</v>
      </c>
      <c r="Q435" s="119">
        <f t="shared" si="551"/>
        <v>-58086.117013333307</v>
      </c>
      <c r="S435" s="13">
        <v>259597</v>
      </c>
      <c r="T435" s="13">
        <f t="shared" si="552"/>
        <v>-59050.117013333307</v>
      </c>
      <c r="W435" s="124">
        <v>0.4200275</v>
      </c>
      <c r="Y435" s="79">
        <f t="shared" si="553"/>
        <v>84235.205893682141</v>
      </c>
      <c r="Z435" s="79">
        <f t="shared" si="554"/>
        <v>108632.9724075</v>
      </c>
      <c r="AA435" s="79">
        <f t="shared" si="555"/>
        <v>-24397.766513817856</v>
      </c>
      <c r="AB435" s="79">
        <f t="shared" si="556"/>
        <v>109037.8789175</v>
      </c>
      <c r="AC435" s="79">
        <f t="shared" si="557"/>
        <v>-24802.673023817857</v>
      </c>
    </row>
    <row r="436" spans="1:29">
      <c r="A436" s="14">
        <v>346</v>
      </c>
      <c r="B436" s="15" t="s">
        <v>378</v>
      </c>
      <c r="C436" s="157">
        <v>51866</v>
      </c>
      <c r="D436" s="102">
        <f t="shared" si="545"/>
        <v>0</v>
      </c>
      <c r="E436" s="152">
        <f t="shared" si="545"/>
        <v>0</v>
      </c>
      <c r="F436" s="98">
        <v>-1</v>
      </c>
      <c r="G436" s="91">
        <f t="shared" si="546"/>
        <v>-4973.4309999999996</v>
      </c>
      <c r="H436" s="74">
        <v>497343.1</v>
      </c>
      <c r="I436" s="74">
        <v>175766</v>
      </c>
      <c r="J436" s="74">
        <f t="shared" si="547"/>
        <v>326550.53099999996</v>
      </c>
      <c r="K436" s="13">
        <f t="shared" si="558"/>
        <v>30</v>
      </c>
      <c r="L436" s="32">
        <f t="shared" si="548"/>
        <v>30</v>
      </c>
      <c r="M436" s="74">
        <f t="shared" si="549"/>
        <v>10885.017699999999</v>
      </c>
      <c r="N436" s="88">
        <f t="shared" si="550"/>
        <v>2.1886335006959981E-2</v>
      </c>
      <c r="O436" s="32">
        <v>23.9</v>
      </c>
      <c r="P436" s="13">
        <v>14068</v>
      </c>
      <c r="Q436" s="119">
        <f t="shared" si="551"/>
        <v>-3182.9823000000015</v>
      </c>
      <c r="S436" s="13">
        <v>14097</v>
      </c>
      <c r="T436" s="13">
        <f t="shared" si="552"/>
        <v>-3211.9823000000015</v>
      </c>
      <c r="W436" s="124">
        <v>0.4200275</v>
      </c>
      <c r="Y436" s="79">
        <f t="shared" si="553"/>
        <v>4572.0067719867493</v>
      </c>
      <c r="Z436" s="79">
        <f t="shared" si="554"/>
        <v>5908.9468699999998</v>
      </c>
      <c r="AA436" s="79">
        <f t="shared" si="555"/>
        <v>-1336.9400980132507</v>
      </c>
      <c r="AB436" s="79">
        <f t="shared" si="556"/>
        <v>5921.1276674999999</v>
      </c>
      <c r="AC436" s="79">
        <f t="shared" si="557"/>
        <v>-1349.1208955132506</v>
      </c>
    </row>
    <row r="437" spans="1:29">
      <c r="A437" s="14"/>
      <c r="B437" s="33" t="s">
        <v>85</v>
      </c>
      <c r="C437" s="23"/>
      <c r="D437" s="102"/>
      <c r="E437" s="152"/>
      <c r="F437" s="99"/>
      <c r="G437" s="72"/>
      <c r="H437" s="75">
        <f>+SUBTOTAL(9,H431:H436)</f>
        <v>169811190.19999999</v>
      </c>
      <c r="I437" s="75">
        <f>+SUBTOTAL(9,I431:I436)</f>
        <v>52703467</v>
      </c>
      <c r="J437" s="75">
        <f>+SUBTOTAL(9,J431:J436)</f>
        <v>118805835.102</v>
      </c>
      <c r="K437" s="13"/>
      <c r="L437" s="13"/>
      <c r="M437" s="75">
        <f>+SUBTOTAL(9,M431:M436)</f>
        <v>4234661.9040767923</v>
      </c>
      <c r="N437" s="27">
        <f>+ROUND(M437/H437*100,2)</f>
        <v>2.4900000000000002</v>
      </c>
      <c r="O437" s="31"/>
      <c r="P437" s="103">
        <f>+SUBTOTAL(9,P431:P436)</f>
        <v>5723278</v>
      </c>
      <c r="Q437" s="120">
        <f>+SUBTOTAL(9,Q431:Q436)</f>
        <v>-1488616.0959232077</v>
      </c>
      <c r="S437" s="103">
        <f>+SUBTOTAL(9,S431:S436)</f>
        <v>5945917</v>
      </c>
      <c r="T437" s="103">
        <f>+SUBTOTAL(9,T431:T436)</f>
        <v>-1711255.0959232077</v>
      </c>
      <c r="Y437" s="75">
        <f t="shared" ref="Y437:AC437" si="559">+SUBTOTAL(9,Y431:Y436)</f>
        <v>1778674.4529146149</v>
      </c>
      <c r="Z437" s="75">
        <f t="shared" si="559"/>
        <v>2403934.1501449998</v>
      </c>
      <c r="AA437" s="75">
        <f t="shared" si="559"/>
        <v>-625259.69723038503</v>
      </c>
      <c r="AB437" s="75">
        <f t="shared" si="559"/>
        <v>2497448.6527175005</v>
      </c>
      <c r="AC437" s="75">
        <f t="shared" si="559"/>
        <v>-718774.19980288506</v>
      </c>
    </row>
    <row r="438" spans="1:29">
      <c r="A438" s="14"/>
      <c r="B438" s="17"/>
      <c r="C438" s="43"/>
      <c r="E438" s="153"/>
      <c r="F438" s="99"/>
      <c r="G438" s="72"/>
      <c r="I438" s="73"/>
      <c r="J438" s="73"/>
      <c r="K438" s="19"/>
      <c r="L438" s="19"/>
      <c r="M438" s="73"/>
      <c r="N438" s="27"/>
      <c r="O438" s="31"/>
      <c r="P438" s="19"/>
      <c r="S438" s="19"/>
      <c r="T438" s="19"/>
    </row>
    <row r="439" spans="1:29">
      <c r="A439" s="60"/>
      <c r="B439" s="22" t="s">
        <v>193</v>
      </c>
      <c r="C439" s="43"/>
      <c r="E439" s="153"/>
      <c r="F439" s="99"/>
      <c r="G439" s="72"/>
      <c r="I439" s="73"/>
      <c r="J439" s="73"/>
      <c r="K439" s="19"/>
      <c r="L439" s="19"/>
      <c r="M439" s="73"/>
      <c r="N439" s="27"/>
      <c r="O439" s="31"/>
      <c r="P439" s="19"/>
      <c r="S439" s="19"/>
      <c r="T439" s="19"/>
    </row>
    <row r="440" spans="1:29">
      <c r="A440" s="14">
        <v>341</v>
      </c>
      <c r="B440" s="15" t="s">
        <v>162</v>
      </c>
      <c r="C440" s="138">
        <v>55884</v>
      </c>
      <c r="D440" s="102">
        <f t="shared" ref="D440:E445" si="560">($E$412)</f>
        <v>0</v>
      </c>
      <c r="E440" s="152">
        <f t="shared" si="560"/>
        <v>0</v>
      </c>
      <c r="F440" s="98">
        <v>-1</v>
      </c>
      <c r="G440" s="91">
        <f t="shared" ref="G440:G445" si="561">H440*F440/100</f>
        <v>-278403.92369999998</v>
      </c>
      <c r="H440" s="74">
        <v>27840392.370000001</v>
      </c>
      <c r="I440" s="74">
        <v>1796212</v>
      </c>
      <c r="J440" s="74">
        <f t="shared" ref="J440:J445" si="562">H440-G440-I440</f>
        <v>26322584.293700002</v>
      </c>
      <c r="K440" s="13">
        <f>2047-2011+5</f>
        <v>41</v>
      </c>
      <c r="L440" s="32">
        <f t="shared" ref="L440:L445" si="563">(1-(D440/2)*K440)*K440</f>
        <v>41</v>
      </c>
      <c r="M440" s="74">
        <f t="shared" ref="M440:M445" si="564">J440/L440</f>
        <v>642014.25106585375</v>
      </c>
      <c r="N440" s="68">
        <f t="shared" ref="N440:N445" si="565">M440/H440</f>
        <v>2.306053170995067E-2</v>
      </c>
      <c r="O440" s="32">
        <v>35.5</v>
      </c>
      <c r="P440" s="13">
        <v>773233</v>
      </c>
      <c r="Q440" s="119">
        <f t="shared" ref="Q440:Q445" si="566">M440-P440</f>
        <v>-131218.74893414625</v>
      </c>
      <c r="S440" s="13">
        <v>776288</v>
      </c>
      <c r="T440" s="13">
        <f t="shared" ref="T440:T445" si="567">M440-S440</f>
        <v>-134273.74893414625</v>
      </c>
      <c r="W440" s="124">
        <v>0.4200275</v>
      </c>
      <c r="Y440" s="79">
        <f t="shared" ref="Y440:Y445" si="568">M440*W440</f>
        <v>269663.64083956287</v>
      </c>
      <c r="Z440" s="79">
        <f t="shared" ref="Z440:Z445" si="569">P440*W440</f>
        <v>324779.1239075</v>
      </c>
      <c r="AA440" s="79">
        <f t="shared" ref="AA440:AA445" si="570">Q440*W440</f>
        <v>-55115.483067937115</v>
      </c>
      <c r="AB440" s="79">
        <f t="shared" ref="AB440:AB445" si="571">S440*W440</f>
        <v>326062.30791999999</v>
      </c>
      <c r="AC440" s="79">
        <f t="shared" ref="AC440:AC445" si="572">T440*W440</f>
        <v>-56398.667080437117</v>
      </c>
    </row>
    <row r="441" spans="1:29">
      <c r="A441" s="14">
        <v>342</v>
      </c>
      <c r="B441" s="15" t="s">
        <v>380</v>
      </c>
      <c r="C441" s="157">
        <v>55884</v>
      </c>
      <c r="D441" s="102">
        <v>2E-3</v>
      </c>
      <c r="E441" s="152">
        <v>2E-3</v>
      </c>
      <c r="F441" s="98">
        <v>-1</v>
      </c>
      <c r="G441" s="91">
        <f t="shared" si="561"/>
        <v>-35021.24</v>
      </c>
      <c r="H441" s="74">
        <v>3502124</v>
      </c>
      <c r="I441" s="74">
        <v>228130</v>
      </c>
      <c r="J441" s="74">
        <f t="shared" si="562"/>
        <v>3309015.24</v>
      </c>
      <c r="K441" s="13">
        <f t="shared" ref="K441:K445" si="573">2047-2011+5</f>
        <v>41</v>
      </c>
      <c r="L441" s="32">
        <f t="shared" si="563"/>
        <v>39.318999999999996</v>
      </c>
      <c r="M441" s="74">
        <f t="shared" si="564"/>
        <v>84158.173910831931</v>
      </c>
      <c r="N441" s="68">
        <f t="shared" si="565"/>
        <v>2.4030609398990991E-2</v>
      </c>
      <c r="O441" s="32">
        <v>32.4</v>
      </c>
      <c r="P441" s="13">
        <v>105438</v>
      </c>
      <c r="Q441" s="119">
        <f t="shared" si="566"/>
        <v>-21279.826089168069</v>
      </c>
      <c r="S441" s="13">
        <v>104689</v>
      </c>
      <c r="T441" s="13">
        <f t="shared" si="567"/>
        <v>-20530.826089168069</v>
      </c>
      <c r="W441" s="124">
        <v>0.4200275</v>
      </c>
      <c r="Y441" s="79">
        <f t="shared" si="568"/>
        <v>35348.747392331956</v>
      </c>
      <c r="Z441" s="79">
        <f t="shared" si="569"/>
        <v>44286.859544999999</v>
      </c>
      <c r="AA441" s="79">
        <f t="shared" si="570"/>
        <v>-8938.1121526680417</v>
      </c>
      <c r="AB441" s="79">
        <f t="shared" si="571"/>
        <v>43972.258947499999</v>
      </c>
      <c r="AC441" s="79">
        <f t="shared" si="572"/>
        <v>-8623.511555168041</v>
      </c>
    </row>
    <row r="442" spans="1:29">
      <c r="A442" s="14">
        <v>343</v>
      </c>
      <c r="B442" s="15" t="s">
        <v>83</v>
      </c>
      <c r="C442" s="157">
        <v>55884</v>
      </c>
      <c r="D442" s="102">
        <v>6.0000000000000001E-3</v>
      </c>
      <c r="E442" s="152">
        <v>6.0000000000000001E-3</v>
      </c>
      <c r="F442" s="98">
        <v>-2</v>
      </c>
      <c r="G442" s="91">
        <f t="shared" si="561"/>
        <v>-3572342.1088</v>
      </c>
      <c r="H442" s="74">
        <v>178617105.44</v>
      </c>
      <c r="I442" s="74">
        <v>10639577</v>
      </c>
      <c r="J442" s="74">
        <f t="shared" si="562"/>
        <v>171549870.54879999</v>
      </c>
      <c r="K442" s="13">
        <f t="shared" si="573"/>
        <v>41</v>
      </c>
      <c r="L442" s="32">
        <f t="shared" si="563"/>
        <v>35.957000000000001</v>
      </c>
      <c r="M442" s="74">
        <f t="shared" si="564"/>
        <v>4770972.8439191254</v>
      </c>
      <c r="N442" s="68">
        <f t="shared" si="565"/>
        <v>2.6710615605187726E-2</v>
      </c>
      <c r="O442" s="32">
        <v>29</v>
      </c>
      <c r="P442" s="13">
        <v>6097398</v>
      </c>
      <c r="Q442" s="119">
        <f t="shared" si="566"/>
        <v>-1326425.1560808746</v>
      </c>
      <c r="S442" s="13">
        <v>6450381</v>
      </c>
      <c r="T442" s="13">
        <f t="shared" si="567"/>
        <v>-1679408.1560808746</v>
      </c>
      <c r="W442" s="124">
        <v>0.4200275</v>
      </c>
      <c r="Y442" s="79">
        <f t="shared" si="568"/>
        <v>2003939.7961992405</v>
      </c>
      <c r="Z442" s="79">
        <f t="shared" si="569"/>
        <v>2561074.8384449999</v>
      </c>
      <c r="AA442" s="79">
        <f t="shared" si="570"/>
        <v>-557135.04224575951</v>
      </c>
      <c r="AB442" s="79">
        <f t="shared" si="571"/>
        <v>2709337.4054775001</v>
      </c>
      <c r="AC442" s="79">
        <f t="shared" si="572"/>
        <v>-705397.60927825957</v>
      </c>
    </row>
    <row r="443" spans="1:29">
      <c r="A443" s="14">
        <v>344</v>
      </c>
      <c r="B443" s="15" t="s">
        <v>84</v>
      </c>
      <c r="C443" s="157">
        <v>55884</v>
      </c>
      <c r="D443" s="102">
        <v>1.5E-3</v>
      </c>
      <c r="E443" s="152">
        <v>1.5E-3</v>
      </c>
      <c r="F443" s="98">
        <v>-2</v>
      </c>
      <c r="G443" s="91">
        <f t="shared" si="561"/>
        <v>-1640517.1198</v>
      </c>
      <c r="H443" s="74">
        <v>82025855.989999995</v>
      </c>
      <c r="I443" s="74">
        <v>5254905</v>
      </c>
      <c r="J443" s="74">
        <f t="shared" si="562"/>
        <v>78411468.109799996</v>
      </c>
      <c r="K443" s="13">
        <f t="shared" si="573"/>
        <v>41</v>
      </c>
      <c r="L443" s="32">
        <f t="shared" si="563"/>
        <v>39.739249999999998</v>
      </c>
      <c r="M443" s="74">
        <f t="shared" si="564"/>
        <v>1973149.1688896997</v>
      </c>
      <c r="N443" s="68">
        <f t="shared" si="565"/>
        <v>2.4055209727165201E-2</v>
      </c>
      <c r="O443" s="32">
        <v>32.4</v>
      </c>
      <c r="P443" s="13">
        <v>2495887</v>
      </c>
      <c r="Q443" s="119">
        <f t="shared" si="566"/>
        <v>-522737.83111030026</v>
      </c>
      <c r="S443" s="13">
        <v>2507285</v>
      </c>
      <c r="T443" s="13">
        <f t="shared" si="567"/>
        <v>-534135.83111030026</v>
      </c>
      <c r="W443" s="124">
        <v>0.4200275</v>
      </c>
      <c r="Y443" s="79">
        <f t="shared" si="568"/>
        <v>828776.91253581841</v>
      </c>
      <c r="Z443" s="79">
        <f t="shared" si="569"/>
        <v>1048341.1768925</v>
      </c>
      <c r="AA443" s="79">
        <f t="shared" si="570"/>
        <v>-219564.26435668164</v>
      </c>
      <c r="AB443" s="79">
        <f t="shared" si="571"/>
        <v>1053128.6503375</v>
      </c>
      <c r="AC443" s="79">
        <f t="shared" si="572"/>
        <v>-224351.73780168165</v>
      </c>
    </row>
    <row r="444" spans="1:29">
      <c r="A444" s="14">
        <v>345</v>
      </c>
      <c r="B444" s="16" t="s">
        <v>13</v>
      </c>
      <c r="C444" s="157">
        <v>55884</v>
      </c>
      <c r="D444" s="102">
        <f t="shared" si="560"/>
        <v>0</v>
      </c>
      <c r="E444" s="152">
        <f t="shared" si="560"/>
        <v>0</v>
      </c>
      <c r="F444" s="98">
        <v>-1</v>
      </c>
      <c r="G444" s="91">
        <f t="shared" si="561"/>
        <v>-443964.10020000004</v>
      </c>
      <c r="H444" s="74">
        <v>44396410.020000003</v>
      </c>
      <c r="I444" s="74">
        <v>2845160</v>
      </c>
      <c r="J444" s="74">
        <f t="shared" si="562"/>
        <v>41995214.120200001</v>
      </c>
      <c r="K444" s="13">
        <f t="shared" si="573"/>
        <v>41</v>
      </c>
      <c r="L444" s="32">
        <f t="shared" si="563"/>
        <v>41</v>
      </c>
      <c r="M444" s="74">
        <f t="shared" si="564"/>
        <v>1024273.5151268293</v>
      </c>
      <c r="N444" s="68">
        <f t="shared" si="565"/>
        <v>2.3071088735900209E-2</v>
      </c>
      <c r="O444" s="32">
        <v>35.1</v>
      </c>
      <c r="P444" s="13">
        <v>1246885</v>
      </c>
      <c r="Q444" s="119">
        <f t="shared" si="566"/>
        <v>-222611.48487317073</v>
      </c>
      <c r="S444" s="13">
        <v>1238495</v>
      </c>
      <c r="T444" s="13">
        <f t="shared" si="567"/>
        <v>-214221.48487317073</v>
      </c>
      <c r="W444" s="124">
        <v>0.4200275</v>
      </c>
      <c r="Y444" s="79">
        <f t="shared" si="568"/>
        <v>430223.04387493426</v>
      </c>
      <c r="Z444" s="79">
        <f t="shared" si="569"/>
        <v>523725.98933750001</v>
      </c>
      <c r="AA444" s="79">
        <f t="shared" si="570"/>
        <v>-93502.945462565724</v>
      </c>
      <c r="AB444" s="79">
        <f t="shared" si="571"/>
        <v>520201.95861249999</v>
      </c>
      <c r="AC444" s="79">
        <f t="shared" si="572"/>
        <v>-89978.914737565719</v>
      </c>
    </row>
    <row r="445" spans="1:29">
      <c r="A445" s="14">
        <v>346</v>
      </c>
      <c r="B445" s="15" t="s">
        <v>378</v>
      </c>
      <c r="C445" s="157">
        <v>55884</v>
      </c>
      <c r="D445" s="102">
        <f t="shared" si="560"/>
        <v>0</v>
      </c>
      <c r="E445" s="152">
        <f t="shared" si="560"/>
        <v>0</v>
      </c>
      <c r="F445" s="98">
        <v>-1</v>
      </c>
      <c r="G445" s="91">
        <f t="shared" si="561"/>
        <v>-31519.092700000001</v>
      </c>
      <c r="H445" s="74">
        <v>3151909.27</v>
      </c>
      <c r="I445" s="74">
        <v>204884</v>
      </c>
      <c r="J445" s="74">
        <f t="shared" si="562"/>
        <v>2978544.3626999999</v>
      </c>
      <c r="K445" s="13">
        <f t="shared" si="573"/>
        <v>41</v>
      </c>
      <c r="L445" s="32">
        <f t="shared" si="563"/>
        <v>41</v>
      </c>
      <c r="M445" s="74">
        <f t="shared" si="564"/>
        <v>72647.423480487807</v>
      </c>
      <c r="N445" s="88">
        <f t="shared" si="565"/>
        <v>2.3048703898918957E-2</v>
      </c>
      <c r="O445" s="32">
        <v>34.6</v>
      </c>
      <c r="P445" s="13">
        <v>88715</v>
      </c>
      <c r="Q445" s="119">
        <f t="shared" si="566"/>
        <v>-16067.576519512193</v>
      </c>
      <c r="S445" s="13">
        <v>89085</v>
      </c>
      <c r="T445" s="13">
        <f t="shared" si="567"/>
        <v>-16437.576519512193</v>
      </c>
      <c r="W445" s="124">
        <v>0.4200275</v>
      </c>
      <c r="Y445" s="79">
        <f t="shared" si="568"/>
        <v>30513.915665950593</v>
      </c>
      <c r="Z445" s="79">
        <f t="shared" si="569"/>
        <v>37262.739662499996</v>
      </c>
      <c r="AA445" s="79">
        <f t="shared" si="570"/>
        <v>-6748.8239965494076</v>
      </c>
      <c r="AB445" s="79">
        <f t="shared" si="571"/>
        <v>37418.149837500001</v>
      </c>
      <c r="AC445" s="79">
        <f t="shared" si="572"/>
        <v>-6904.2341715494076</v>
      </c>
    </row>
    <row r="446" spans="1:29">
      <c r="A446" s="14"/>
      <c r="B446" s="33" t="s">
        <v>252</v>
      </c>
      <c r="C446" s="23"/>
      <c r="D446" s="102"/>
      <c r="E446" s="152"/>
      <c r="F446" s="99"/>
      <c r="G446" s="72"/>
      <c r="H446" s="75">
        <f>+SUBTOTAL(9,H440:H445)</f>
        <v>339533797.08999997</v>
      </c>
      <c r="I446" s="75">
        <f>+SUBTOTAL(9,I440:I445)</f>
        <v>20968868</v>
      </c>
      <c r="J446" s="75">
        <f>+SUBTOTAL(9,J440:J445)</f>
        <v>324566696.67519993</v>
      </c>
      <c r="K446" s="13"/>
      <c r="L446" s="13"/>
      <c r="M446" s="75">
        <f>+SUBTOTAL(9,M440:M445)</f>
        <v>8567215.3763928283</v>
      </c>
      <c r="N446" s="27">
        <f>+ROUND(M446/H446*100,2)</f>
        <v>2.52</v>
      </c>
      <c r="O446" s="31"/>
      <c r="P446" s="103">
        <f>+SUBTOTAL(9,P440:P445)</f>
        <v>10807556</v>
      </c>
      <c r="Q446" s="120">
        <f>+SUBTOTAL(9,Q440:Q445)</f>
        <v>-2240340.6236071722</v>
      </c>
      <c r="S446" s="103">
        <f>+SUBTOTAL(9,S440:S445)</f>
        <v>11166223</v>
      </c>
      <c r="T446" s="103">
        <f>+SUBTOTAL(9,T440:T445)</f>
        <v>-2599007.6236071722</v>
      </c>
      <c r="Y446" s="75">
        <f t="shared" ref="Y446:AC446" si="574">+SUBTOTAL(9,Y440:Y445)</f>
        <v>3598466.0565078384</v>
      </c>
      <c r="Z446" s="75">
        <f t="shared" si="574"/>
        <v>4539470.7277899999</v>
      </c>
      <c r="AA446" s="75">
        <f t="shared" si="574"/>
        <v>-941004.67128216138</v>
      </c>
      <c r="AB446" s="75">
        <f t="shared" si="574"/>
        <v>4690120.7311325008</v>
      </c>
      <c r="AC446" s="75">
        <f t="shared" si="574"/>
        <v>-1091654.6746246614</v>
      </c>
    </row>
    <row r="447" spans="1:29">
      <c r="A447" s="14"/>
      <c r="B447" s="17"/>
      <c r="C447" s="43"/>
      <c r="E447" s="153"/>
      <c r="F447" s="99"/>
      <c r="G447" s="72"/>
      <c r="I447" s="73"/>
      <c r="J447" s="73"/>
      <c r="K447" s="19"/>
      <c r="L447" s="19"/>
      <c r="M447" s="73"/>
      <c r="N447" s="27"/>
      <c r="O447" s="31"/>
      <c r="P447" s="19"/>
      <c r="S447" s="19"/>
      <c r="T447" s="19"/>
    </row>
    <row r="448" spans="1:29">
      <c r="A448" s="60"/>
      <c r="B448" s="22" t="s">
        <v>291</v>
      </c>
      <c r="C448" s="43"/>
      <c r="E448" s="153"/>
      <c r="F448" s="99"/>
      <c r="G448" s="72"/>
      <c r="I448" s="73"/>
      <c r="J448" s="73"/>
      <c r="K448" s="19"/>
      <c r="L448" s="19"/>
      <c r="M448" s="73"/>
      <c r="N448" s="27"/>
      <c r="O448" s="31"/>
      <c r="P448" s="19"/>
      <c r="S448" s="19"/>
      <c r="T448" s="19"/>
    </row>
    <row r="449" spans="1:29">
      <c r="A449" s="14">
        <v>341</v>
      </c>
      <c r="B449" s="15" t="s">
        <v>162</v>
      </c>
      <c r="C449" s="138">
        <v>50405</v>
      </c>
      <c r="D449" s="102">
        <f t="shared" ref="D449:E453" si="575">($E$412)</f>
        <v>0</v>
      </c>
      <c r="E449" s="152">
        <f t="shared" si="575"/>
        <v>0</v>
      </c>
      <c r="F449" s="98">
        <v>-1</v>
      </c>
      <c r="G449" s="91">
        <f t="shared" ref="G449:G453" si="576">H449*F449/100</f>
        <v>-42403.044900000001</v>
      </c>
      <c r="H449" s="74">
        <v>4240304.49</v>
      </c>
      <c r="I449" s="74">
        <v>1311326</v>
      </c>
      <c r="J449" s="74">
        <f t="shared" ref="J449:J453" si="577">H449-G449-I449</f>
        <v>2971381.5349000003</v>
      </c>
      <c r="K449" s="13">
        <f>2032-2011</f>
        <v>21</v>
      </c>
      <c r="L449" s="32">
        <f>(1-(D449/2)*K449)*K449</f>
        <v>21</v>
      </c>
      <c r="M449" s="74">
        <f>J449/L449</f>
        <v>141494.35880476193</v>
      </c>
      <c r="N449" s="68">
        <f>M449/H449</f>
        <v>3.3368914694322321E-2</v>
      </c>
      <c r="O449" s="32">
        <v>20.9</v>
      </c>
      <c r="P449" s="13">
        <v>144208</v>
      </c>
      <c r="Q449" s="119">
        <f t="shared" ref="Q449:Q453" si="578">M449-P449</f>
        <v>-2713.6411952380731</v>
      </c>
      <c r="S449" s="13">
        <v>144753</v>
      </c>
      <c r="T449" s="13">
        <f t="shared" ref="T449:T453" si="579">M449-S449</f>
        <v>-3258.6411952380731</v>
      </c>
      <c r="W449" s="124">
        <v>0.43280689999999999</v>
      </c>
      <c r="Y449" s="79">
        <f t="shared" ref="Y449:Y453" si="580">M449*W449</f>
        <v>61239.734801776714</v>
      </c>
      <c r="Z449" s="79">
        <f t="shared" ref="Z449:Z453" si="581">P449*W449</f>
        <v>62414.2174352</v>
      </c>
      <c r="AA449" s="79">
        <f t="shared" ref="AA449:AA453" si="582">Q449*W449</f>
        <v>-1174.4826334232853</v>
      </c>
      <c r="AB449" s="79">
        <f t="shared" ref="AB449:AB453" si="583">S449*W449</f>
        <v>62650.0971957</v>
      </c>
      <c r="AC449" s="79">
        <f t="shared" ref="AC449:AC453" si="584">T449*W449</f>
        <v>-1410.3623939232853</v>
      </c>
    </row>
    <row r="450" spans="1:29">
      <c r="A450" s="14">
        <v>342</v>
      </c>
      <c r="B450" s="15" t="s">
        <v>380</v>
      </c>
      <c r="C450" s="157">
        <v>50405</v>
      </c>
      <c r="D450" s="102">
        <v>2E-3</v>
      </c>
      <c r="E450" s="152">
        <v>2E-3</v>
      </c>
      <c r="F450" s="98">
        <v>-1</v>
      </c>
      <c r="G450" s="91">
        <f t="shared" si="576"/>
        <v>-22841.257599999997</v>
      </c>
      <c r="H450" s="74">
        <v>2284125.7599999998</v>
      </c>
      <c r="I450" s="74">
        <v>709142</v>
      </c>
      <c r="J450" s="74">
        <f t="shared" si="577"/>
        <v>1597825.0175999999</v>
      </c>
      <c r="K450" s="13">
        <f t="shared" ref="K450:K453" si="585">2032-2011</f>
        <v>21</v>
      </c>
      <c r="L450" s="32">
        <f>(1-(D450/2)*K450)*K450</f>
        <v>20.559000000000001</v>
      </c>
      <c r="M450" s="74">
        <f>J450/L450</f>
        <v>77719.004698672099</v>
      </c>
      <c r="N450" s="68">
        <f>M450/H450</f>
        <v>3.4025711744817458E-2</v>
      </c>
      <c r="O450" s="32">
        <v>19.8</v>
      </c>
      <c r="P450" s="13">
        <v>80577</v>
      </c>
      <c r="Q450" s="119">
        <f t="shared" si="578"/>
        <v>-2857.995301327901</v>
      </c>
      <c r="S450" s="13">
        <v>80533</v>
      </c>
      <c r="T450" s="13">
        <f t="shared" si="579"/>
        <v>-2813.995301327901</v>
      </c>
      <c r="W450" s="124">
        <v>0.43280689999999999</v>
      </c>
      <c r="Y450" s="79">
        <f t="shared" si="580"/>
        <v>33637.321494717704</v>
      </c>
      <c r="Z450" s="79">
        <f t="shared" si="581"/>
        <v>34874.281581299998</v>
      </c>
      <c r="AA450" s="79">
        <f t="shared" si="582"/>
        <v>-1236.9600865822947</v>
      </c>
      <c r="AB450" s="79">
        <f t="shared" si="583"/>
        <v>34855.2380777</v>
      </c>
      <c r="AC450" s="79">
        <f t="shared" si="584"/>
        <v>-1217.9165829822946</v>
      </c>
    </row>
    <row r="451" spans="1:29">
      <c r="A451" s="14">
        <v>343</v>
      </c>
      <c r="B451" s="15" t="s">
        <v>83</v>
      </c>
      <c r="C451" s="157">
        <v>50405</v>
      </c>
      <c r="D451" s="102">
        <v>6.0000000000000001E-3</v>
      </c>
      <c r="E451" s="152">
        <v>6.0000000000000001E-3</v>
      </c>
      <c r="F451" s="98">
        <v>-1</v>
      </c>
      <c r="G451" s="91">
        <f t="shared" si="576"/>
        <v>-564361.32039999997</v>
      </c>
      <c r="H451" s="74">
        <v>56436132.039999999</v>
      </c>
      <c r="I451" s="74">
        <v>15169888</v>
      </c>
      <c r="J451" s="74">
        <f t="shared" si="577"/>
        <v>41830605.360399999</v>
      </c>
      <c r="K451" s="13">
        <f t="shared" si="585"/>
        <v>21</v>
      </c>
      <c r="L451" s="32">
        <f>(1-(D451/2)*K451)*K451</f>
        <v>19.677</v>
      </c>
      <c r="M451" s="74">
        <f>J451/L451</f>
        <v>2125862.9547390356</v>
      </c>
      <c r="N451" s="68">
        <f>M451/H451</f>
        <v>3.7668473686897901E-2</v>
      </c>
      <c r="O451" s="32">
        <v>18.7</v>
      </c>
      <c r="P451" s="13">
        <v>2269642</v>
      </c>
      <c r="Q451" s="119">
        <f t="shared" si="578"/>
        <v>-143779.04526096443</v>
      </c>
      <c r="S451" s="13">
        <v>2432175</v>
      </c>
      <c r="T451" s="13">
        <f t="shared" si="579"/>
        <v>-306312.04526096443</v>
      </c>
      <c r="W451" s="124">
        <v>0.43280689999999999</v>
      </c>
      <c r="Y451" s="79">
        <f t="shared" si="580"/>
        <v>920088.15526544233</v>
      </c>
      <c r="Z451" s="79">
        <f t="shared" si="581"/>
        <v>982316.71812979993</v>
      </c>
      <c r="AA451" s="79">
        <f t="shared" si="582"/>
        <v>-62228.562864357707</v>
      </c>
      <c r="AB451" s="79">
        <f t="shared" si="583"/>
        <v>1052662.1220074999</v>
      </c>
      <c r="AC451" s="79">
        <f t="shared" si="584"/>
        <v>-132573.9667420577</v>
      </c>
    </row>
    <row r="452" spans="1:29">
      <c r="A452" s="14">
        <v>344</v>
      </c>
      <c r="B452" s="15" t="s">
        <v>84</v>
      </c>
      <c r="C452" s="157">
        <v>50405</v>
      </c>
      <c r="D452" s="102">
        <v>1.5E-3</v>
      </c>
      <c r="E452" s="152">
        <v>1.5E-3</v>
      </c>
      <c r="F452" s="98">
        <v>-1</v>
      </c>
      <c r="G452" s="91">
        <f t="shared" si="576"/>
        <v>-160594.93890000001</v>
      </c>
      <c r="H452" s="74">
        <v>16059493.890000001</v>
      </c>
      <c r="I452" s="74">
        <v>5105983</v>
      </c>
      <c r="J452" s="74">
        <f t="shared" si="577"/>
        <v>11114105.8289</v>
      </c>
      <c r="K452" s="13">
        <f t="shared" si="585"/>
        <v>21</v>
      </c>
      <c r="L452" s="32">
        <f>(1-(D452/2)*K452)*K452</f>
        <v>20.669249999999998</v>
      </c>
      <c r="M452" s="74">
        <f>J452/L452</f>
        <v>537712.1002890768</v>
      </c>
      <c r="N452" s="68">
        <f>M452/H452</f>
        <v>3.3482505985067301E-2</v>
      </c>
      <c r="O452" s="32">
        <v>19.8</v>
      </c>
      <c r="P452" s="13">
        <v>568912</v>
      </c>
      <c r="Q452" s="119">
        <f t="shared" si="578"/>
        <v>-31199.8997109232</v>
      </c>
      <c r="S452" s="13">
        <v>570151</v>
      </c>
      <c r="T452" s="13">
        <f t="shared" si="579"/>
        <v>-32438.8997109232</v>
      </c>
      <c r="W452" s="124">
        <v>0.43280689999999999</v>
      </c>
      <c r="Y452" s="79">
        <f t="shared" si="580"/>
        <v>232725.50721860444</v>
      </c>
      <c r="Z452" s="79">
        <f t="shared" si="581"/>
        <v>246229.0390928</v>
      </c>
      <c r="AA452" s="79">
        <f t="shared" si="582"/>
        <v>-13503.531874195567</v>
      </c>
      <c r="AB452" s="79">
        <f t="shared" si="583"/>
        <v>246765.2868419</v>
      </c>
      <c r="AC452" s="79">
        <f t="shared" si="584"/>
        <v>-14039.779623295566</v>
      </c>
    </row>
    <row r="453" spans="1:29">
      <c r="A453" s="14">
        <v>345</v>
      </c>
      <c r="B453" s="16" t="s">
        <v>13</v>
      </c>
      <c r="C453" s="157">
        <v>50405</v>
      </c>
      <c r="D453" s="102">
        <f t="shared" si="575"/>
        <v>0</v>
      </c>
      <c r="E453" s="152">
        <f t="shared" si="575"/>
        <v>0</v>
      </c>
      <c r="F453" s="98">
        <v>-1</v>
      </c>
      <c r="G453" s="91">
        <f t="shared" si="576"/>
        <v>-29196.488799999999</v>
      </c>
      <c r="H453" s="74">
        <v>2919648.88</v>
      </c>
      <c r="I453" s="74">
        <v>806767</v>
      </c>
      <c r="J453" s="74">
        <f t="shared" si="577"/>
        <v>2142078.3687999998</v>
      </c>
      <c r="K453" s="13">
        <f t="shared" si="585"/>
        <v>21</v>
      </c>
      <c r="L453" s="32">
        <f>(1-(D453/2)*K453)*K453</f>
        <v>21</v>
      </c>
      <c r="M453" s="74">
        <f>J453/L453</f>
        <v>102003.73184761904</v>
      </c>
      <c r="N453" s="88">
        <f>M453/H453</f>
        <v>3.4936985932232732E-2</v>
      </c>
      <c r="O453" s="32">
        <v>20.8</v>
      </c>
      <c r="P453" s="13">
        <v>104566</v>
      </c>
      <c r="Q453" s="119">
        <f t="shared" si="578"/>
        <v>-2562.2681523809588</v>
      </c>
      <c r="S453" s="13">
        <v>105154</v>
      </c>
      <c r="T453" s="13">
        <f t="shared" si="579"/>
        <v>-3150.2681523809588</v>
      </c>
      <c r="W453" s="124">
        <v>0.43280689999999999</v>
      </c>
      <c r="Y453" s="79">
        <f t="shared" si="580"/>
        <v>44147.918969399267</v>
      </c>
      <c r="Z453" s="79">
        <f t="shared" si="581"/>
        <v>45256.886305400003</v>
      </c>
      <c r="AA453" s="79">
        <f t="shared" si="582"/>
        <v>-1108.9673360007305</v>
      </c>
      <c r="AB453" s="79">
        <f t="shared" si="583"/>
        <v>45511.376762599997</v>
      </c>
      <c r="AC453" s="79">
        <f t="shared" si="584"/>
        <v>-1363.4577932007303</v>
      </c>
    </row>
    <row r="454" spans="1:29">
      <c r="A454" s="14"/>
      <c r="B454" s="33" t="s">
        <v>253</v>
      </c>
      <c r="C454" s="23"/>
      <c r="D454" s="102"/>
      <c r="E454" s="152"/>
      <c r="F454" s="96"/>
      <c r="G454" s="72"/>
      <c r="H454" s="75">
        <f>+SUBTOTAL(9,H449:H453)</f>
        <v>81939705.060000002</v>
      </c>
      <c r="I454" s="75">
        <f>+SUBTOTAL(9,I449:I453)</f>
        <v>23103106</v>
      </c>
      <c r="J454" s="75">
        <f>+SUBTOTAL(9,J449:J453)</f>
        <v>59655996.110600002</v>
      </c>
      <c r="K454" s="13"/>
      <c r="L454" s="13"/>
      <c r="M454" s="75">
        <f>+SUBTOTAL(9,M449:M453)</f>
        <v>2984792.1503791655</v>
      </c>
      <c r="N454" s="27">
        <f>+ROUND(M454/H454*100,2)</f>
        <v>3.64</v>
      </c>
      <c r="O454" s="31"/>
      <c r="P454" s="103">
        <f>+SUBTOTAL(9,P449:P453)</f>
        <v>3167905</v>
      </c>
      <c r="Q454" s="120">
        <f>+SUBTOTAL(9,Q449:Q453)</f>
        <v>-183112.84962083458</v>
      </c>
      <c r="S454" s="103">
        <f>+SUBTOTAL(9,S449:S453)</f>
        <v>3332766</v>
      </c>
      <c r="T454" s="103">
        <f>+SUBTOTAL(9,T449:T453)</f>
        <v>-347973.84962083458</v>
      </c>
      <c r="Y454" s="75">
        <f t="shared" ref="Y454:AC454" si="586">+SUBTOTAL(9,Y449:Y453)</f>
        <v>1291838.6377499406</v>
      </c>
      <c r="Z454" s="75">
        <f t="shared" si="586"/>
        <v>1371091.1425444998</v>
      </c>
      <c r="AA454" s="75">
        <f t="shared" si="586"/>
        <v>-79252.504794559587</v>
      </c>
      <c r="AB454" s="75">
        <f t="shared" si="586"/>
        <v>1442444.1208853999</v>
      </c>
      <c r="AC454" s="75">
        <f t="shared" si="586"/>
        <v>-150605.48313545957</v>
      </c>
    </row>
    <row r="455" spans="1:29">
      <c r="A455" s="14"/>
      <c r="B455" s="17"/>
      <c r="C455" s="43"/>
      <c r="F455" s="96"/>
      <c r="G455" s="72"/>
      <c r="I455" s="73"/>
      <c r="J455" s="73"/>
      <c r="K455" s="19"/>
      <c r="L455" s="19"/>
      <c r="M455" s="73"/>
      <c r="N455" s="27"/>
      <c r="O455" s="31"/>
      <c r="P455" s="19"/>
      <c r="S455" s="19"/>
      <c r="T455" s="19"/>
    </row>
    <row r="456" spans="1:29">
      <c r="A456" s="60"/>
      <c r="B456" s="22" t="s">
        <v>87</v>
      </c>
      <c r="C456" s="43"/>
      <c r="F456" s="96"/>
      <c r="G456" s="72"/>
      <c r="I456" s="73"/>
      <c r="J456" s="73"/>
      <c r="K456" s="19"/>
      <c r="L456" s="19"/>
      <c r="M456" s="73"/>
      <c r="N456" s="27"/>
      <c r="O456" s="31"/>
      <c r="P456" s="19"/>
      <c r="S456" s="19"/>
      <c r="T456" s="19"/>
    </row>
    <row r="457" spans="1:29">
      <c r="A457" s="14">
        <v>341</v>
      </c>
      <c r="B457" s="15" t="s">
        <v>162</v>
      </c>
      <c r="C457" s="138"/>
      <c r="D457" s="102"/>
      <c r="E457" s="160" t="s">
        <v>287</v>
      </c>
      <c r="F457" s="160"/>
      <c r="G457" s="91"/>
      <c r="H457" s="74">
        <v>337027.88</v>
      </c>
      <c r="I457" s="74">
        <v>360620</v>
      </c>
      <c r="J457" s="74">
        <v>0</v>
      </c>
      <c r="K457" s="13"/>
      <c r="L457" s="13"/>
      <c r="M457" s="74">
        <v>0</v>
      </c>
      <c r="N457" s="18">
        <v>0</v>
      </c>
      <c r="O457" s="18">
        <v>0</v>
      </c>
      <c r="P457" s="13">
        <v>0</v>
      </c>
      <c r="S457" s="13"/>
      <c r="T457" s="13"/>
    </row>
    <row r="458" spans="1:29">
      <c r="A458" s="14">
        <v>343</v>
      </c>
      <c r="B458" s="15" t="s">
        <v>83</v>
      </c>
      <c r="C458" s="138"/>
      <c r="D458" s="102"/>
      <c r="E458" s="160" t="s">
        <v>287</v>
      </c>
      <c r="F458" s="160"/>
      <c r="G458" s="91"/>
      <c r="H458" s="74">
        <v>1167092.49</v>
      </c>
      <c r="I458" s="74">
        <v>1468443</v>
      </c>
      <c r="J458" s="74">
        <v>-219654</v>
      </c>
      <c r="K458" s="13"/>
      <c r="L458" s="13"/>
      <c r="M458" s="74">
        <v>0</v>
      </c>
      <c r="N458" s="18">
        <v>0</v>
      </c>
      <c r="O458" s="18">
        <v>0</v>
      </c>
      <c r="P458" s="13">
        <v>0</v>
      </c>
      <c r="S458" s="13"/>
      <c r="T458" s="13"/>
    </row>
    <row r="459" spans="1:29">
      <c r="A459" s="14">
        <v>345</v>
      </c>
      <c r="B459" s="16" t="s">
        <v>13</v>
      </c>
      <c r="C459" s="138"/>
      <c r="D459" s="102"/>
      <c r="E459" s="160" t="s">
        <v>287</v>
      </c>
      <c r="F459" s="160"/>
      <c r="G459" s="91"/>
      <c r="H459" s="74">
        <v>215728.34</v>
      </c>
      <c r="I459" s="74">
        <v>230829</v>
      </c>
      <c r="J459" s="74">
        <v>0</v>
      </c>
      <c r="K459" s="13"/>
      <c r="L459" s="13"/>
      <c r="M459" s="74">
        <v>0</v>
      </c>
      <c r="N459" s="18">
        <v>0</v>
      </c>
      <c r="O459" s="18">
        <v>0</v>
      </c>
      <c r="P459" s="13">
        <v>0</v>
      </c>
      <c r="S459" s="13"/>
      <c r="T459" s="13"/>
    </row>
    <row r="460" spans="1:29">
      <c r="A460" s="14">
        <v>346</v>
      </c>
      <c r="B460" s="15" t="s">
        <v>378</v>
      </c>
      <c r="C460" s="138"/>
      <c r="D460" s="102"/>
      <c r="E460" s="160" t="s">
        <v>287</v>
      </c>
      <c r="F460" s="160"/>
      <c r="G460" s="91"/>
      <c r="H460" s="74">
        <v>11813.11</v>
      </c>
      <c r="I460" s="74">
        <v>12640</v>
      </c>
      <c r="J460" s="74">
        <v>0</v>
      </c>
      <c r="K460" s="13"/>
      <c r="L460" s="13"/>
      <c r="M460" s="74">
        <v>0</v>
      </c>
      <c r="N460" s="21">
        <v>0</v>
      </c>
      <c r="O460" s="18">
        <v>0</v>
      </c>
      <c r="P460" s="13">
        <v>0</v>
      </c>
      <c r="S460" s="13"/>
      <c r="T460" s="13"/>
    </row>
    <row r="461" spans="1:29">
      <c r="A461" s="14"/>
      <c r="B461" s="33" t="s">
        <v>88</v>
      </c>
      <c r="C461" s="23"/>
      <c r="D461" s="102"/>
      <c r="F461" s="96"/>
      <c r="G461" s="72"/>
      <c r="H461" s="75">
        <f>+SUBTOTAL(9,H457:H460)</f>
        <v>1731661.8200000003</v>
      </c>
      <c r="I461" s="75">
        <f>+SUBTOTAL(9,I457:I460)</f>
        <v>2072532</v>
      </c>
      <c r="J461" s="75">
        <f>+SUBTOTAL(9,J457:J460)</f>
        <v>-219654</v>
      </c>
      <c r="K461" s="13"/>
      <c r="L461" s="13"/>
      <c r="M461" s="75">
        <f>+SUBTOTAL(9,M457:M460)</f>
        <v>0</v>
      </c>
      <c r="N461" s="30"/>
      <c r="O461" s="31"/>
      <c r="P461" s="103">
        <f>+SUBTOTAL(9,P457:P460)</f>
        <v>0</v>
      </c>
      <c r="Q461" s="120">
        <f>+SUBTOTAL(9,Q457:Q460)</f>
        <v>0</v>
      </c>
      <c r="S461" s="103">
        <f>+SUBTOTAL(9,S457:S460)</f>
        <v>0</v>
      </c>
      <c r="T461" s="103">
        <f>+SUBTOTAL(9,T457:T460)</f>
        <v>0</v>
      </c>
    </row>
    <row r="462" spans="1:29">
      <c r="A462" s="14"/>
      <c r="B462" s="17"/>
      <c r="C462" s="43"/>
      <c r="F462" s="96"/>
      <c r="G462" s="72"/>
      <c r="I462" s="73"/>
      <c r="J462" s="73"/>
      <c r="K462" s="19"/>
      <c r="L462" s="19"/>
      <c r="M462" s="73"/>
      <c r="N462" s="27"/>
      <c r="O462" s="31"/>
      <c r="P462" s="19"/>
      <c r="S462" s="19"/>
      <c r="T462" s="19"/>
    </row>
    <row r="463" spans="1:29">
      <c r="A463" s="60"/>
      <c r="B463" s="22" t="s">
        <v>194</v>
      </c>
      <c r="C463" s="43"/>
      <c r="F463" s="96"/>
      <c r="G463" s="72"/>
      <c r="I463" s="73"/>
      <c r="J463" s="73"/>
      <c r="K463" s="19"/>
      <c r="L463" s="19"/>
      <c r="M463" s="73"/>
      <c r="N463" s="27"/>
      <c r="O463" s="31"/>
      <c r="P463" s="19"/>
      <c r="S463" s="19"/>
      <c r="T463" s="19"/>
    </row>
    <row r="464" spans="1:29">
      <c r="A464" s="14">
        <v>341</v>
      </c>
      <c r="B464" s="15" t="s">
        <v>162</v>
      </c>
      <c r="C464" s="138">
        <v>51501</v>
      </c>
      <c r="D464" s="102">
        <v>1.5E-3</v>
      </c>
      <c r="E464" s="152">
        <f t="shared" ref="E464:E468" si="587">($E$412)</f>
        <v>0</v>
      </c>
      <c r="F464" s="98">
        <v>0</v>
      </c>
      <c r="G464" s="91">
        <f t="shared" ref="G464:G468" si="588">H464*F464/100</f>
        <v>0</v>
      </c>
      <c r="H464" s="74">
        <v>7639582.0899999999</v>
      </c>
      <c r="I464" s="74">
        <v>410022</v>
      </c>
      <c r="J464" s="74">
        <f t="shared" ref="J464:J468" si="589">H464-G464-I464</f>
        <v>7229560.0899999999</v>
      </c>
      <c r="K464" s="13">
        <f>2040-2011</f>
        <v>29</v>
      </c>
      <c r="L464" s="32">
        <f>(1-(D464/2)*K464)*K464</f>
        <v>28.369249999999997</v>
      </c>
      <c r="M464" s="74">
        <f>J464/L464</f>
        <v>254837.89983873387</v>
      </c>
      <c r="N464" s="68">
        <f>M464/H464</f>
        <v>3.335757072004103E-2</v>
      </c>
      <c r="O464" s="32">
        <v>27.1</v>
      </c>
      <c r="P464" s="13">
        <v>269485</v>
      </c>
      <c r="Q464" s="119">
        <f t="shared" ref="Q464:Q468" si="590">M464-P464</f>
        <v>-14647.100161266135</v>
      </c>
      <c r="S464" s="13">
        <v>264388</v>
      </c>
      <c r="T464" s="13">
        <f t="shared" ref="T464:T468" si="591">M464-S464</f>
        <v>-9550.1001612661348</v>
      </c>
      <c r="W464" s="124">
        <v>0.4200275</v>
      </c>
      <c r="Y464" s="79">
        <f t="shared" ref="Y464:Y468" si="592">M464*W464</f>
        <v>107038.92597451378</v>
      </c>
      <c r="Z464" s="79">
        <f t="shared" ref="Z464:Z468" si="593">P464*W464</f>
        <v>113191.1108375</v>
      </c>
      <c r="AA464" s="79">
        <f t="shared" ref="AA464:AA468" si="594">Q464*W464</f>
        <v>-6152.1848629862116</v>
      </c>
      <c r="AB464" s="79">
        <f t="shared" ref="AB464:AB468" si="595">S464*W464</f>
        <v>111050.23067</v>
      </c>
      <c r="AC464" s="79">
        <f t="shared" ref="AC464:AC468" si="596">T464*W464</f>
        <v>-4011.3046954862116</v>
      </c>
    </row>
    <row r="465" spans="1:29">
      <c r="A465" s="14">
        <v>343</v>
      </c>
      <c r="B465" s="15" t="s">
        <v>83</v>
      </c>
      <c r="C465" s="138">
        <v>51501</v>
      </c>
      <c r="D465" s="102">
        <v>0</v>
      </c>
      <c r="E465" s="152">
        <v>6.0000000000000001E-3</v>
      </c>
      <c r="F465" s="98">
        <v>0</v>
      </c>
      <c r="G465" s="91">
        <f t="shared" si="588"/>
        <v>0</v>
      </c>
      <c r="H465" s="74">
        <v>207516766.59</v>
      </c>
      <c r="I465" s="74">
        <v>11796933</v>
      </c>
      <c r="J465" s="74">
        <f t="shared" si="589"/>
        <v>195719833.59</v>
      </c>
      <c r="K465" s="13">
        <f t="shared" ref="K465:K468" si="597">2040-2011</f>
        <v>29</v>
      </c>
      <c r="L465" s="32">
        <f>(1-(D465/2)*K465)*K465</f>
        <v>29</v>
      </c>
      <c r="M465" s="74">
        <f>J465/L465</f>
        <v>6748959.7789655169</v>
      </c>
      <c r="N465" s="68">
        <f>M465/H465</f>
        <v>3.2522479459694616E-2</v>
      </c>
      <c r="O465" s="32">
        <v>28.1</v>
      </c>
      <c r="P465" s="13">
        <v>7031461</v>
      </c>
      <c r="Q465" s="119">
        <f t="shared" si="590"/>
        <v>-282501.22103448305</v>
      </c>
      <c r="S465" s="13">
        <v>6938591</v>
      </c>
      <c r="T465" s="13">
        <f t="shared" si="591"/>
        <v>-189631.22103448305</v>
      </c>
      <c r="W465" s="124">
        <v>0.4200275</v>
      </c>
      <c r="Y465" s="79">
        <f t="shared" si="592"/>
        <v>2834748.7035594387</v>
      </c>
      <c r="Z465" s="79">
        <f t="shared" si="593"/>
        <v>2953406.9851775002</v>
      </c>
      <c r="AA465" s="79">
        <f t="shared" si="594"/>
        <v>-118658.28161806133</v>
      </c>
      <c r="AB465" s="79">
        <f t="shared" si="595"/>
        <v>2914399.0312525001</v>
      </c>
      <c r="AC465" s="79">
        <f t="shared" si="596"/>
        <v>-79650.327693061336</v>
      </c>
    </row>
    <row r="466" spans="1:29">
      <c r="A466" s="14">
        <v>344</v>
      </c>
      <c r="B466" s="15" t="s">
        <v>84</v>
      </c>
      <c r="C466" s="138">
        <v>51501</v>
      </c>
      <c r="D466" s="102">
        <v>0</v>
      </c>
      <c r="E466" s="152">
        <v>1.5E-3</v>
      </c>
      <c r="F466" s="98">
        <v>0</v>
      </c>
      <c r="G466" s="91">
        <f t="shared" si="588"/>
        <v>0</v>
      </c>
      <c r="H466" s="74">
        <v>5564835.7400000002</v>
      </c>
      <c r="I466" s="74">
        <v>316350</v>
      </c>
      <c r="J466" s="74">
        <f t="shared" si="589"/>
        <v>5248485.74</v>
      </c>
      <c r="K466" s="13">
        <f t="shared" si="597"/>
        <v>29</v>
      </c>
      <c r="L466" s="32">
        <f>(1-(D466/2)*K466)*K466</f>
        <v>29</v>
      </c>
      <c r="M466" s="74">
        <f>J466/L466</f>
        <v>180982.26689655174</v>
      </c>
      <c r="N466" s="68">
        <f>M466/H466</f>
        <v>3.2522481408687853E-2</v>
      </c>
      <c r="O466" s="32">
        <v>28.1</v>
      </c>
      <c r="P466" s="13">
        <v>188558</v>
      </c>
      <c r="Q466" s="119">
        <f t="shared" si="590"/>
        <v>-7575.7331034482631</v>
      </c>
      <c r="S466" s="13">
        <v>185421</v>
      </c>
      <c r="T466" s="13">
        <f t="shared" si="591"/>
        <v>-4438.7331034482631</v>
      </c>
      <c r="W466" s="124">
        <v>0.4200275</v>
      </c>
      <c r="Y466" s="79">
        <f t="shared" si="592"/>
        <v>76017.52910889138</v>
      </c>
      <c r="Z466" s="79">
        <f t="shared" si="593"/>
        <v>79199.545345000006</v>
      </c>
      <c r="AA466" s="79">
        <f t="shared" si="594"/>
        <v>-3182.0162361086154</v>
      </c>
      <c r="AB466" s="79">
        <f t="shared" si="595"/>
        <v>77881.919077500002</v>
      </c>
      <c r="AC466" s="79">
        <f t="shared" si="596"/>
        <v>-1864.3899686086154</v>
      </c>
    </row>
    <row r="467" spans="1:29">
      <c r="A467" s="14">
        <v>345</v>
      </c>
      <c r="B467" s="16" t="s">
        <v>13</v>
      </c>
      <c r="C467" s="138">
        <v>51501</v>
      </c>
      <c r="D467" s="102">
        <v>5.0000000000000001E-3</v>
      </c>
      <c r="E467" s="152">
        <f t="shared" si="587"/>
        <v>0</v>
      </c>
      <c r="F467" s="98">
        <v>0</v>
      </c>
      <c r="G467" s="91">
        <f t="shared" si="588"/>
        <v>0</v>
      </c>
      <c r="H467" s="74">
        <v>12295697.59</v>
      </c>
      <c r="I467" s="74">
        <v>702600</v>
      </c>
      <c r="J467" s="74">
        <f t="shared" si="589"/>
        <v>11593097.59</v>
      </c>
      <c r="K467" s="13">
        <f t="shared" si="597"/>
        <v>29</v>
      </c>
      <c r="L467" s="32">
        <f>(1-(D467/2)*K467)*K467</f>
        <v>26.897500000000001</v>
      </c>
      <c r="M467" s="74">
        <f>J467/L467</f>
        <v>431010.22734454874</v>
      </c>
      <c r="N467" s="68">
        <f>M467/H467</f>
        <v>3.5053743326859808E-2</v>
      </c>
      <c r="O467" s="32">
        <v>28.5</v>
      </c>
      <c r="P467" s="13">
        <v>411224</v>
      </c>
      <c r="Q467" s="119">
        <f t="shared" si="590"/>
        <v>19786.227344548737</v>
      </c>
      <c r="S467" s="13">
        <v>404385</v>
      </c>
      <c r="T467" s="13">
        <f t="shared" si="591"/>
        <v>26625.227344548737</v>
      </c>
      <c r="W467" s="124">
        <v>0.4200275</v>
      </c>
      <c r="Y467" s="79">
        <f t="shared" si="592"/>
        <v>181036.14826596243</v>
      </c>
      <c r="Z467" s="79">
        <f t="shared" si="593"/>
        <v>172725.38866</v>
      </c>
      <c r="AA467" s="79">
        <f t="shared" si="594"/>
        <v>8310.7596059624448</v>
      </c>
      <c r="AB467" s="79">
        <f t="shared" si="595"/>
        <v>169852.8205875</v>
      </c>
      <c r="AC467" s="79">
        <f t="shared" si="596"/>
        <v>11183.327678462445</v>
      </c>
    </row>
    <row r="468" spans="1:29">
      <c r="A468" s="14">
        <v>346</v>
      </c>
      <c r="B468" s="15" t="s">
        <v>378</v>
      </c>
      <c r="C468" s="138">
        <v>51501</v>
      </c>
      <c r="D468" s="102">
        <f t="shared" ref="D468" si="598">($E$412)</f>
        <v>0</v>
      </c>
      <c r="E468" s="152">
        <f t="shared" si="587"/>
        <v>0</v>
      </c>
      <c r="F468" s="98">
        <v>0</v>
      </c>
      <c r="G468" s="91">
        <f t="shared" si="588"/>
        <v>0</v>
      </c>
      <c r="H468" s="74">
        <v>149130.71</v>
      </c>
      <c r="I468" s="74">
        <v>8511</v>
      </c>
      <c r="J468" s="74">
        <f t="shared" si="589"/>
        <v>140619.71</v>
      </c>
      <c r="K468" s="13">
        <f t="shared" si="597"/>
        <v>29</v>
      </c>
      <c r="L468" s="32">
        <f>(1-(D468/2)*K468)*K468</f>
        <v>29</v>
      </c>
      <c r="M468" s="74">
        <f>J468/L468</f>
        <v>4848.9555172413793</v>
      </c>
      <c r="N468" s="88">
        <f>M468/H468</f>
        <v>3.2514802063514481E-2</v>
      </c>
      <c r="O468" s="32">
        <v>28.5</v>
      </c>
      <c r="P468" s="13">
        <v>4936</v>
      </c>
      <c r="Q468" s="119">
        <f t="shared" si="590"/>
        <v>-87.044482758620688</v>
      </c>
      <c r="S468" s="13">
        <v>4849</v>
      </c>
      <c r="T468" s="13">
        <f t="shared" si="591"/>
        <v>-4.4482758620688401E-2</v>
      </c>
      <c r="W468" s="124">
        <v>0.4200275</v>
      </c>
      <c r="Y468" s="79">
        <f t="shared" si="592"/>
        <v>2036.6946635181034</v>
      </c>
      <c r="Z468" s="79">
        <f t="shared" si="593"/>
        <v>2073.2557400000001</v>
      </c>
      <c r="AA468" s="79">
        <f t="shared" si="594"/>
        <v>-36.561076481896549</v>
      </c>
      <c r="AB468" s="79">
        <f t="shared" si="595"/>
        <v>2036.7133475000001</v>
      </c>
      <c r="AC468" s="79">
        <f t="shared" si="596"/>
        <v>-1.8683981896551197E-2</v>
      </c>
    </row>
    <row r="469" spans="1:29">
      <c r="A469" s="14"/>
      <c r="B469" s="33" t="s">
        <v>254</v>
      </c>
      <c r="C469" s="23"/>
      <c r="D469" s="102"/>
      <c r="E469" s="152"/>
      <c r="F469" s="99"/>
      <c r="G469" s="72"/>
      <c r="H469" s="75">
        <f>+SUBTOTAL(9,H464:H468)</f>
        <v>233166012.72000003</v>
      </c>
      <c r="I469" s="75">
        <f>+SUBTOTAL(9,I464:I468)</f>
        <v>13234416</v>
      </c>
      <c r="J469" s="75">
        <f>+SUBTOTAL(9,J464:J468)</f>
        <v>219931596.72000003</v>
      </c>
      <c r="K469" s="13"/>
      <c r="L469" s="13"/>
      <c r="M469" s="75">
        <f>+SUBTOTAL(9,M464:M468)</f>
        <v>7620639.128562592</v>
      </c>
      <c r="N469" s="27">
        <f>+ROUND(M469/H469*100,2)</f>
        <v>3.27</v>
      </c>
      <c r="O469" s="31"/>
      <c r="P469" s="103">
        <f>+SUBTOTAL(9,P464:P468)</f>
        <v>7905664</v>
      </c>
      <c r="Q469" s="120">
        <f>+SUBTOTAL(9,Q464:Q468)</f>
        <v>-285024.87143740739</v>
      </c>
      <c r="S469" s="103">
        <f>+SUBTOTAL(9,S464:S468)</f>
        <v>7797634</v>
      </c>
      <c r="T469" s="103">
        <f>+SUBTOTAL(9,T464:T468)</f>
        <v>-176994.87143740733</v>
      </c>
      <c r="Y469" s="75">
        <f t="shared" ref="Y469:AC469" si="599">+SUBTOTAL(9,Y464:Y468)</f>
        <v>3200878.0015723244</v>
      </c>
      <c r="Z469" s="75">
        <f t="shared" si="599"/>
        <v>3320596.2857600003</v>
      </c>
      <c r="AA469" s="75">
        <f t="shared" si="599"/>
        <v>-119718.2841876756</v>
      </c>
      <c r="AB469" s="75">
        <f t="shared" si="599"/>
        <v>3275220.7149350001</v>
      </c>
      <c r="AC469" s="75">
        <f t="shared" si="599"/>
        <v>-74342.713362675611</v>
      </c>
    </row>
    <row r="470" spans="1:29">
      <c r="A470" s="14"/>
      <c r="B470" s="17"/>
      <c r="C470" s="43"/>
      <c r="E470" s="153"/>
      <c r="F470" s="99"/>
      <c r="G470" s="72"/>
      <c r="I470" s="73"/>
      <c r="J470" s="73"/>
      <c r="K470" s="19"/>
      <c r="L470" s="19"/>
      <c r="M470" s="73"/>
      <c r="N470" s="27"/>
      <c r="O470" s="31"/>
      <c r="P470" s="19"/>
      <c r="S470" s="19"/>
      <c r="T470" s="19"/>
    </row>
    <row r="471" spans="1:29">
      <c r="A471" s="60"/>
      <c r="B471" s="22" t="s">
        <v>195</v>
      </c>
      <c r="C471" s="43"/>
      <c r="E471" s="153"/>
      <c r="F471" s="99"/>
      <c r="G471" s="72"/>
      <c r="I471" s="73"/>
      <c r="J471" s="73"/>
      <c r="K471" s="19"/>
      <c r="L471" s="19"/>
      <c r="M471" s="73"/>
      <c r="N471" s="27"/>
      <c r="O471" s="31"/>
      <c r="P471" s="19"/>
      <c r="S471" s="19"/>
      <c r="T471" s="19"/>
    </row>
    <row r="472" spans="1:29">
      <c r="A472" s="14">
        <v>341</v>
      </c>
      <c r="B472" s="15" t="s">
        <v>162</v>
      </c>
      <c r="C472" s="138">
        <v>47483</v>
      </c>
      <c r="D472" s="102">
        <v>1.5E-3</v>
      </c>
      <c r="E472" s="152">
        <f t="shared" ref="E472:E475" si="600">($E$412)</f>
        <v>0</v>
      </c>
      <c r="F472" s="98">
        <v>-1</v>
      </c>
      <c r="G472" s="91">
        <f t="shared" ref="G472:G475" si="601">H472*F472/100</f>
        <v>-1102.2875999999999</v>
      </c>
      <c r="H472" s="74">
        <v>110228.76</v>
      </c>
      <c r="I472" s="74">
        <v>53096</v>
      </c>
      <c r="J472" s="74">
        <f t="shared" ref="J472:J475" si="602">H472-G472-I472</f>
        <v>58235.047599999991</v>
      </c>
      <c r="K472" s="13">
        <f>2029-2011</f>
        <v>18</v>
      </c>
      <c r="L472" s="32">
        <f>(1-(D472/2)*K472)*K472</f>
        <v>17.757000000000001</v>
      </c>
      <c r="M472" s="74">
        <f>J472/L472</f>
        <v>3279.5544067128449</v>
      </c>
      <c r="N472" s="68">
        <f>M472/H472</f>
        <v>2.9752257094363077E-2</v>
      </c>
      <c r="O472" s="32">
        <v>17.100000000000001</v>
      </c>
      <c r="P472" s="13">
        <v>3400</v>
      </c>
      <c r="Q472" s="119">
        <f t="shared" ref="Q472:Q475" si="603">M472-P472</f>
        <v>-120.44559328715513</v>
      </c>
      <c r="S472" s="13">
        <v>3812</v>
      </c>
      <c r="T472" s="13">
        <f t="shared" ref="T472:T475" si="604">M472-S472</f>
        <v>-532.44559328715513</v>
      </c>
      <c r="W472" s="124">
        <v>0.4200275</v>
      </c>
      <c r="Y472" s="79">
        <f t="shared" ref="Y472:Y475" si="605">M472*W472</f>
        <v>1377.5030385655793</v>
      </c>
      <c r="Z472" s="79">
        <f t="shared" ref="Z472:Z475" si="606">P472*W472</f>
        <v>1428.0934999999999</v>
      </c>
      <c r="AA472" s="79">
        <f t="shared" ref="AA472:AA475" si="607">Q472*W472</f>
        <v>-50.590461434420554</v>
      </c>
      <c r="AB472" s="79">
        <f t="shared" ref="AB472:AB475" si="608">S472*W472</f>
        <v>1601.14483</v>
      </c>
      <c r="AC472" s="79">
        <f t="shared" ref="AC472:AC475" si="609">T472*W472</f>
        <v>-223.64179143442055</v>
      </c>
    </row>
    <row r="473" spans="1:29">
      <c r="A473" s="14">
        <v>343</v>
      </c>
      <c r="B473" s="15" t="s">
        <v>83</v>
      </c>
      <c r="C473" s="138">
        <v>47483</v>
      </c>
      <c r="D473" s="102">
        <v>0</v>
      </c>
      <c r="E473" s="152">
        <v>6.0000000000000001E-3</v>
      </c>
      <c r="F473" s="98">
        <v>0</v>
      </c>
      <c r="G473" s="91">
        <f t="shared" si="601"/>
        <v>0</v>
      </c>
      <c r="H473" s="74">
        <v>31931758.870000001</v>
      </c>
      <c r="I473" s="74">
        <v>15744942</v>
      </c>
      <c r="J473" s="74">
        <f t="shared" si="602"/>
        <v>16186816.870000001</v>
      </c>
      <c r="K473" s="13">
        <f t="shared" ref="K473:K475" si="610">2029-2011</f>
        <v>18</v>
      </c>
      <c r="L473" s="32">
        <f>(1-(D473/2)*K473)*K473</f>
        <v>18</v>
      </c>
      <c r="M473" s="74">
        <f>J473/L473</f>
        <v>899267.60388888896</v>
      </c>
      <c r="N473" s="68">
        <f>M473/H473</f>
        <v>2.8162169442340179E-2</v>
      </c>
      <c r="O473" s="32">
        <v>17.5</v>
      </c>
      <c r="P473" s="13">
        <v>945180</v>
      </c>
      <c r="Q473" s="119">
        <f t="shared" si="603"/>
        <v>-45912.39611111104</v>
      </c>
      <c r="S473" s="13">
        <v>901621</v>
      </c>
      <c r="T473" s="13">
        <f t="shared" si="604"/>
        <v>-2353.3961111110402</v>
      </c>
      <c r="W473" s="124">
        <v>0.4200275</v>
      </c>
      <c r="Y473" s="79">
        <f t="shared" si="605"/>
        <v>377717.12349244033</v>
      </c>
      <c r="Z473" s="79">
        <f t="shared" si="606"/>
        <v>397001.59245</v>
      </c>
      <c r="AA473" s="79">
        <f t="shared" si="607"/>
        <v>-19284.468957559693</v>
      </c>
      <c r="AB473" s="79">
        <f t="shared" si="608"/>
        <v>378705.61457749997</v>
      </c>
      <c r="AC473" s="79">
        <f t="shared" si="609"/>
        <v>-988.49108505969241</v>
      </c>
    </row>
    <row r="474" spans="1:29">
      <c r="A474" s="14">
        <v>344</v>
      </c>
      <c r="B474" s="15" t="s">
        <v>84</v>
      </c>
      <c r="C474" s="138">
        <v>47483</v>
      </c>
      <c r="D474" s="102">
        <v>0</v>
      </c>
      <c r="E474" s="152">
        <v>1.5E-3</v>
      </c>
      <c r="F474" s="98">
        <v>0</v>
      </c>
      <c r="G474" s="91">
        <f t="shared" si="601"/>
        <v>0</v>
      </c>
      <c r="H474" s="74">
        <v>1612116.14</v>
      </c>
      <c r="I474" s="74">
        <v>799311</v>
      </c>
      <c r="J474" s="74">
        <f t="shared" si="602"/>
        <v>812805.1399999999</v>
      </c>
      <c r="K474" s="13">
        <f t="shared" si="610"/>
        <v>18</v>
      </c>
      <c r="L474" s="32">
        <f>(1-(D474/2)*K474)*K474</f>
        <v>18</v>
      </c>
      <c r="M474" s="74">
        <f>J474/L474</f>
        <v>45155.841111111105</v>
      </c>
      <c r="N474" s="68">
        <f>M474/H474</f>
        <v>2.8010290320095121E-2</v>
      </c>
      <c r="O474" s="32">
        <v>17.5</v>
      </c>
      <c r="P474" s="13">
        <v>47476</v>
      </c>
      <c r="Q474" s="119">
        <f t="shared" si="603"/>
        <v>-2320.1588888888946</v>
      </c>
      <c r="S474" s="13">
        <v>45405</v>
      </c>
      <c r="T474" s="13">
        <f t="shared" si="604"/>
        <v>-249.15888888889458</v>
      </c>
      <c r="W474" s="124">
        <v>0.4200275</v>
      </c>
      <c r="Y474" s="79">
        <f t="shared" si="605"/>
        <v>18966.695052297218</v>
      </c>
      <c r="Z474" s="79">
        <f t="shared" si="606"/>
        <v>19941.225589999998</v>
      </c>
      <c r="AA474" s="79">
        <f t="shared" si="607"/>
        <v>-974.53053770278018</v>
      </c>
      <c r="AB474" s="79">
        <f t="shared" si="608"/>
        <v>19071.348637499999</v>
      </c>
      <c r="AC474" s="79">
        <f t="shared" si="609"/>
        <v>-104.65358520278016</v>
      </c>
    </row>
    <row r="475" spans="1:29">
      <c r="A475" s="14">
        <v>345</v>
      </c>
      <c r="B475" s="16" t="s">
        <v>13</v>
      </c>
      <c r="C475" s="138">
        <v>47483</v>
      </c>
      <c r="D475" s="102">
        <v>5.0000000000000001E-3</v>
      </c>
      <c r="E475" s="152">
        <f t="shared" si="600"/>
        <v>0</v>
      </c>
      <c r="F475" s="98">
        <v>-1</v>
      </c>
      <c r="G475" s="91">
        <f t="shared" si="601"/>
        <v>-28592.055499999999</v>
      </c>
      <c r="H475" s="74">
        <v>2859205.55</v>
      </c>
      <c r="I475" s="74">
        <v>1426257</v>
      </c>
      <c r="J475" s="74">
        <f t="shared" si="602"/>
        <v>1461540.6054999996</v>
      </c>
      <c r="K475" s="13">
        <f t="shared" si="610"/>
        <v>18</v>
      </c>
      <c r="L475" s="32">
        <f>(1-(D475/2)*K475)*K475</f>
        <v>17.189999999999998</v>
      </c>
      <c r="M475" s="74">
        <f>J475/L475</f>
        <v>85022.722833042455</v>
      </c>
      <c r="N475" s="88">
        <f>M475/H475</f>
        <v>2.9736484959272152E-2</v>
      </c>
      <c r="O475" s="32">
        <v>17.600000000000001</v>
      </c>
      <c r="P475" s="13">
        <v>82948</v>
      </c>
      <c r="Q475" s="119">
        <f t="shared" si="603"/>
        <v>2074.722833042455</v>
      </c>
      <c r="S475" s="13">
        <v>79299</v>
      </c>
      <c r="T475" s="13">
        <f t="shared" si="604"/>
        <v>5723.722833042455</v>
      </c>
      <c r="W475" s="124">
        <v>0.4200275</v>
      </c>
      <c r="Y475" s="79">
        <f t="shared" si="605"/>
        <v>35711.881714755742</v>
      </c>
      <c r="Z475" s="79">
        <f t="shared" si="606"/>
        <v>34840.441070000001</v>
      </c>
      <c r="AA475" s="79">
        <f t="shared" si="607"/>
        <v>871.44064475573975</v>
      </c>
      <c r="AB475" s="79">
        <f t="shared" si="608"/>
        <v>33307.760722500003</v>
      </c>
      <c r="AC475" s="79">
        <f t="shared" si="609"/>
        <v>2404.1209922557396</v>
      </c>
    </row>
    <row r="476" spans="1:29">
      <c r="A476" s="14"/>
      <c r="B476" s="33" t="s">
        <v>255</v>
      </c>
      <c r="C476" s="23"/>
      <c r="D476" s="102"/>
      <c r="E476" s="152"/>
      <c r="F476" s="99"/>
      <c r="G476" s="72"/>
      <c r="H476" s="75">
        <f>+SUBTOTAL(9,H472:H475)</f>
        <v>36513309.32</v>
      </c>
      <c r="I476" s="75">
        <f>+SUBTOTAL(9,I472:I475)</f>
        <v>18023606</v>
      </c>
      <c r="J476" s="75">
        <f>+SUBTOTAL(9,J472:J475)</f>
        <v>18519397.663099997</v>
      </c>
      <c r="K476" s="13"/>
      <c r="L476" s="13"/>
      <c r="M476" s="75">
        <f>+SUBTOTAL(9,M472:M475)</f>
        <v>1032725.7222397554</v>
      </c>
      <c r="N476" s="27">
        <f>+ROUND(M476/H476*100,2)</f>
        <v>2.83</v>
      </c>
      <c r="O476" s="31"/>
      <c r="P476" s="103">
        <f>+SUBTOTAL(9,P472:P475)</f>
        <v>1079004</v>
      </c>
      <c r="Q476" s="120">
        <f>+SUBTOTAL(9,Q472:Q475)</f>
        <v>-46278.277760244637</v>
      </c>
      <c r="S476" s="103">
        <f>+SUBTOTAL(9,S472:S475)</f>
        <v>1030137</v>
      </c>
      <c r="T476" s="103">
        <f>+SUBTOTAL(9,T472:T475)</f>
        <v>2588.7222397553651</v>
      </c>
      <c r="Y476" s="75">
        <f t="shared" ref="Y476:AC476" si="611">+SUBTOTAL(9,Y472:Y475)</f>
        <v>433773.20329805883</v>
      </c>
      <c r="Z476" s="75">
        <f t="shared" si="611"/>
        <v>453211.35261</v>
      </c>
      <c r="AA476" s="75">
        <f t="shared" si="611"/>
        <v>-19438.149311941153</v>
      </c>
      <c r="AB476" s="75">
        <f t="shared" si="611"/>
        <v>432685.86876749998</v>
      </c>
      <c r="AC476" s="75">
        <f t="shared" si="611"/>
        <v>1087.3345305588464</v>
      </c>
    </row>
    <row r="477" spans="1:29">
      <c r="A477" s="14"/>
      <c r="B477" s="17"/>
      <c r="C477" s="43"/>
      <c r="E477" s="153"/>
      <c r="F477" s="99"/>
      <c r="G477" s="72"/>
      <c r="I477" s="73"/>
      <c r="J477" s="73"/>
      <c r="K477" s="19"/>
      <c r="L477" s="19"/>
      <c r="M477" s="73"/>
      <c r="N477" s="27"/>
      <c r="O477" s="31"/>
      <c r="P477" s="19"/>
      <c r="S477" s="19"/>
      <c r="T477" s="19"/>
    </row>
    <row r="478" spans="1:29">
      <c r="A478" s="60"/>
      <c r="B478" s="22" t="s">
        <v>196</v>
      </c>
      <c r="C478" s="43"/>
      <c r="E478" s="153"/>
      <c r="F478" s="99"/>
      <c r="G478" s="72"/>
      <c r="I478" s="73"/>
      <c r="J478" s="73"/>
      <c r="K478" s="19"/>
      <c r="L478" s="19"/>
      <c r="M478" s="73"/>
      <c r="N478" s="27"/>
      <c r="O478" s="31"/>
      <c r="P478" s="19"/>
      <c r="S478" s="19"/>
      <c r="T478" s="19"/>
    </row>
    <row r="479" spans="1:29">
      <c r="A479" s="14">
        <v>341</v>
      </c>
      <c r="B479" s="15" t="s">
        <v>162</v>
      </c>
      <c r="C479" s="138">
        <v>50770</v>
      </c>
      <c r="D479" s="102">
        <v>1.5E-3</v>
      </c>
      <c r="E479" s="152">
        <f t="shared" ref="E479:E483" si="612">($E$412)</f>
        <v>0</v>
      </c>
      <c r="F479" s="98">
        <v>0</v>
      </c>
      <c r="G479" s="91">
        <f t="shared" ref="G479:G483" si="613">H479*F479/100</f>
        <v>0</v>
      </c>
      <c r="H479" s="74">
        <v>9292453.0399999991</v>
      </c>
      <c r="I479" s="74">
        <v>975485</v>
      </c>
      <c r="J479" s="74">
        <f t="shared" ref="J479:J483" si="614">H479-G479-I479</f>
        <v>8316968.0399999991</v>
      </c>
      <c r="K479" s="13">
        <f>2038-2011</f>
        <v>27</v>
      </c>
      <c r="L479" s="32">
        <f>(1-(D479/2)*K479)*K479</f>
        <v>26.453250000000001</v>
      </c>
      <c r="M479" s="74">
        <f>J479/L479</f>
        <v>314402.50404014625</v>
      </c>
      <c r="N479" s="68">
        <f>M479/H479</f>
        <v>3.3834177335820712E-2</v>
      </c>
      <c r="O479" s="32">
        <v>25.3</v>
      </c>
      <c r="P479" s="13">
        <v>331989</v>
      </c>
      <c r="Q479" s="119">
        <f t="shared" ref="Q479:Q483" si="615">M479-P479</f>
        <v>-17586.495959853753</v>
      </c>
      <c r="S479" s="13">
        <v>325674</v>
      </c>
      <c r="T479" s="13">
        <f t="shared" ref="T479:T483" si="616">M479-S479</f>
        <v>-11271.495959853753</v>
      </c>
      <c r="W479" s="124">
        <v>0.4200275</v>
      </c>
      <c r="Y479" s="79">
        <f t="shared" ref="Y479:Y483" si="617">M479*W479</f>
        <v>132057.69776572252</v>
      </c>
      <c r="Z479" s="79">
        <f t="shared" ref="Z479:Z483" si="618">P479*W479</f>
        <v>139444.50969750001</v>
      </c>
      <c r="AA479" s="79">
        <f t="shared" ref="AA479:AA483" si="619">Q479*W479</f>
        <v>-7386.8119317774726</v>
      </c>
      <c r="AB479" s="79">
        <f t="shared" ref="AB479:AB483" si="620">S479*W479</f>
        <v>136792.036035</v>
      </c>
      <c r="AC479" s="79">
        <f t="shared" ref="AC479:AC483" si="621">T479*W479</f>
        <v>-4734.3382692774721</v>
      </c>
    </row>
    <row r="480" spans="1:29">
      <c r="A480" s="14">
        <v>343</v>
      </c>
      <c r="B480" s="15" t="s">
        <v>83</v>
      </c>
      <c r="C480" s="138">
        <v>50770</v>
      </c>
      <c r="D480" s="102">
        <v>0</v>
      </c>
      <c r="E480" s="152">
        <v>6.0000000000000001E-3</v>
      </c>
      <c r="F480" s="98">
        <v>0</v>
      </c>
      <c r="G480" s="91">
        <f t="shared" si="613"/>
        <v>0</v>
      </c>
      <c r="H480" s="74">
        <v>436361922.75999999</v>
      </c>
      <c r="I480" s="74">
        <v>49158727</v>
      </c>
      <c r="J480" s="74">
        <f t="shared" si="614"/>
        <v>387203195.75999999</v>
      </c>
      <c r="K480" s="13">
        <f t="shared" ref="K480:K483" si="622">2038-2011</f>
        <v>27</v>
      </c>
      <c r="L480" s="32">
        <f>(1-(D480/2)*K480)*K480</f>
        <v>27</v>
      </c>
      <c r="M480" s="74">
        <f>J480/L480</f>
        <v>14340859.102222221</v>
      </c>
      <c r="N480" s="68">
        <f>M480/H480</f>
        <v>3.2864597835475497E-2</v>
      </c>
      <c r="O480" s="32">
        <v>26.2</v>
      </c>
      <c r="P480" s="13">
        <v>14939443</v>
      </c>
      <c r="Q480" s="119">
        <f t="shared" si="615"/>
        <v>-598583.89777777903</v>
      </c>
      <c r="S480" s="13">
        <v>14725166</v>
      </c>
      <c r="T480" s="13">
        <f t="shared" si="616"/>
        <v>-384306.89777777903</v>
      </c>
      <c r="W480" s="124">
        <v>0.4200275</v>
      </c>
      <c r="Y480" s="79">
        <f t="shared" si="617"/>
        <v>6023555.1965586441</v>
      </c>
      <c r="Z480" s="79">
        <f t="shared" si="618"/>
        <v>6274976.8946824996</v>
      </c>
      <c r="AA480" s="79">
        <f t="shared" si="619"/>
        <v>-251421.69812385607</v>
      </c>
      <c r="AB480" s="79">
        <f t="shared" si="620"/>
        <v>6184974.6620650003</v>
      </c>
      <c r="AC480" s="79">
        <f t="shared" si="621"/>
        <v>-161419.46550635609</v>
      </c>
    </row>
    <row r="481" spans="1:29">
      <c r="A481" s="14">
        <v>344</v>
      </c>
      <c r="B481" s="15" t="s">
        <v>84</v>
      </c>
      <c r="C481" s="138">
        <v>50770</v>
      </c>
      <c r="D481" s="102">
        <v>0</v>
      </c>
      <c r="E481" s="152">
        <v>1.5E-3</v>
      </c>
      <c r="F481" s="98">
        <v>0</v>
      </c>
      <c r="G481" s="91">
        <f t="shared" si="613"/>
        <v>0</v>
      </c>
      <c r="H481" s="74">
        <v>13550268</v>
      </c>
      <c r="I481" s="74">
        <v>1519803</v>
      </c>
      <c r="J481" s="74">
        <f t="shared" si="614"/>
        <v>12030465</v>
      </c>
      <c r="K481" s="13">
        <f t="shared" si="622"/>
        <v>27</v>
      </c>
      <c r="L481" s="32">
        <f>(1-(D481/2)*K481)*K481</f>
        <v>27</v>
      </c>
      <c r="M481" s="74">
        <f>J481/L481</f>
        <v>445572.77777777775</v>
      </c>
      <c r="N481" s="68">
        <f>M481/H481</f>
        <v>3.2882949457367021E-2</v>
      </c>
      <c r="O481" s="32">
        <v>26.2</v>
      </c>
      <c r="P481" s="13">
        <v>464156</v>
      </c>
      <c r="Q481" s="119">
        <f t="shared" si="615"/>
        <v>-18583.222222222248</v>
      </c>
      <c r="S481" s="13">
        <v>456068</v>
      </c>
      <c r="T481" s="13">
        <f t="shared" si="616"/>
        <v>-10495.222222222248</v>
      </c>
      <c r="W481" s="124">
        <v>0.4200275</v>
      </c>
      <c r="Y481" s="79">
        <f t="shared" si="617"/>
        <v>187152.81991805555</v>
      </c>
      <c r="Z481" s="79">
        <f t="shared" si="618"/>
        <v>194958.28429000001</v>
      </c>
      <c r="AA481" s="79">
        <f t="shared" si="619"/>
        <v>-7805.4643719444557</v>
      </c>
      <c r="AB481" s="79">
        <f t="shared" si="620"/>
        <v>191561.10187000001</v>
      </c>
      <c r="AC481" s="79">
        <f t="shared" si="621"/>
        <v>-4408.2819519444556</v>
      </c>
    </row>
    <row r="482" spans="1:29">
      <c r="A482" s="14">
        <v>345</v>
      </c>
      <c r="B482" s="16" t="s">
        <v>13</v>
      </c>
      <c r="C482" s="138">
        <v>50770</v>
      </c>
      <c r="D482" s="102">
        <v>5.0000000000000001E-3</v>
      </c>
      <c r="E482" s="152">
        <f t="shared" si="612"/>
        <v>0</v>
      </c>
      <c r="F482" s="98">
        <v>0</v>
      </c>
      <c r="G482" s="91">
        <f t="shared" si="613"/>
        <v>0</v>
      </c>
      <c r="H482" s="74">
        <v>29389239.52</v>
      </c>
      <c r="I482" s="74">
        <v>3231614</v>
      </c>
      <c r="J482" s="74">
        <f t="shared" si="614"/>
        <v>26157625.52</v>
      </c>
      <c r="K482" s="13">
        <f t="shared" si="622"/>
        <v>27</v>
      </c>
      <c r="L482" s="32">
        <f>(1-(D482/2)*K482)*K482</f>
        <v>25.177499999999998</v>
      </c>
      <c r="M482" s="74">
        <f>J482/L482</f>
        <v>1038928.6275444345</v>
      </c>
      <c r="N482" s="68">
        <f>M482/H482</f>
        <v>3.5350646852819093E-2</v>
      </c>
      <c r="O482" s="32">
        <v>26.5</v>
      </c>
      <c r="P482" s="13">
        <v>996506</v>
      </c>
      <c r="Q482" s="119">
        <f t="shared" si="615"/>
        <v>42422.627544434508</v>
      </c>
      <c r="S482" s="13">
        <v>979833</v>
      </c>
      <c r="T482" s="13">
        <f t="shared" si="616"/>
        <v>59095.627544434508</v>
      </c>
      <c r="W482" s="124">
        <v>0.4200275</v>
      </c>
      <c r="Y482" s="79">
        <f t="shared" si="617"/>
        <v>436378.59410591994</v>
      </c>
      <c r="Z482" s="79">
        <f t="shared" si="618"/>
        <v>418559.92391499999</v>
      </c>
      <c r="AA482" s="79">
        <f t="shared" si="619"/>
        <v>17818.670190919966</v>
      </c>
      <c r="AB482" s="79">
        <f t="shared" si="620"/>
        <v>411556.80540750001</v>
      </c>
      <c r="AC482" s="79">
        <f t="shared" si="621"/>
        <v>24821.788698419965</v>
      </c>
    </row>
    <row r="483" spans="1:29">
      <c r="A483" s="14">
        <v>346</v>
      </c>
      <c r="B483" s="15" t="s">
        <v>378</v>
      </c>
      <c r="C483" s="138">
        <v>50770</v>
      </c>
      <c r="D483" s="102">
        <f t="shared" ref="D483" si="623">($E$412)</f>
        <v>0</v>
      </c>
      <c r="E483" s="152">
        <f t="shared" si="612"/>
        <v>0</v>
      </c>
      <c r="F483" s="98">
        <v>0</v>
      </c>
      <c r="G483" s="91">
        <f t="shared" si="613"/>
        <v>0</v>
      </c>
      <c r="H483" s="74">
        <v>1157160</v>
      </c>
      <c r="I483" s="74">
        <v>130805</v>
      </c>
      <c r="J483" s="74">
        <f t="shared" si="614"/>
        <v>1026355</v>
      </c>
      <c r="K483" s="13">
        <f t="shared" si="622"/>
        <v>27</v>
      </c>
      <c r="L483" s="32">
        <f>(1-(D483/2)*K483)*K483</f>
        <v>27</v>
      </c>
      <c r="M483" s="74">
        <f>J483/L483</f>
        <v>38013.148148148146</v>
      </c>
      <c r="N483" s="88">
        <f>M483/H483</f>
        <v>3.2850382097677197E-2</v>
      </c>
      <c r="O483" s="32">
        <v>26.5</v>
      </c>
      <c r="P483" s="13">
        <v>38674</v>
      </c>
      <c r="Q483" s="119">
        <f t="shared" si="615"/>
        <v>-660.85185185185401</v>
      </c>
      <c r="S483" s="13">
        <v>37970</v>
      </c>
      <c r="T483" s="13">
        <f t="shared" si="616"/>
        <v>43.148148148145992</v>
      </c>
      <c r="W483" s="124">
        <v>0.4200275</v>
      </c>
      <c r="Y483" s="79">
        <f t="shared" si="617"/>
        <v>15966.567583796295</v>
      </c>
      <c r="Z483" s="79">
        <f t="shared" si="618"/>
        <v>16244.143534999999</v>
      </c>
      <c r="AA483" s="79">
        <f t="shared" si="619"/>
        <v>-277.57595120370462</v>
      </c>
      <c r="AB483" s="79">
        <f t="shared" si="620"/>
        <v>15948.444175000001</v>
      </c>
      <c r="AC483" s="79">
        <f t="shared" si="621"/>
        <v>18.12340879629539</v>
      </c>
    </row>
    <row r="484" spans="1:29">
      <c r="A484" s="14"/>
      <c r="B484" s="33" t="s">
        <v>256</v>
      </c>
      <c r="C484" s="23"/>
      <c r="D484" s="102"/>
      <c r="E484" s="152"/>
      <c r="F484" s="99"/>
      <c r="G484" s="72"/>
      <c r="H484" s="75">
        <f>+SUBTOTAL(9,H479:H483)</f>
        <v>489751043.31999999</v>
      </c>
      <c r="I484" s="75">
        <f>+SUBTOTAL(9,I479:I483)</f>
        <v>55016434</v>
      </c>
      <c r="J484" s="75">
        <f>+SUBTOTAL(9,J479:J483)</f>
        <v>434734609.31999999</v>
      </c>
      <c r="K484" s="13"/>
      <c r="L484" s="13"/>
      <c r="M484" s="75">
        <f>+SUBTOTAL(9,M479:M483)</f>
        <v>16177776.159732727</v>
      </c>
      <c r="N484" s="27">
        <f>+ROUND(M484/H484*100,2)</f>
        <v>3.3</v>
      </c>
      <c r="O484" s="31"/>
      <c r="P484" s="103">
        <f>+SUBTOTAL(9,P479:P483)</f>
        <v>16770768</v>
      </c>
      <c r="Q484" s="120">
        <f>+SUBTOTAL(9,Q479:Q483)</f>
        <v>-592991.84026727243</v>
      </c>
      <c r="S484" s="103">
        <f>+SUBTOTAL(9,S479:S483)</f>
        <v>16524711</v>
      </c>
      <c r="T484" s="103">
        <f>+SUBTOTAL(9,T479:T483)</f>
        <v>-346934.84026727238</v>
      </c>
      <c r="Y484" s="75">
        <f t="shared" ref="Y484:AC484" si="624">+SUBTOTAL(9,Y479:Y483)</f>
        <v>6795110.8759321393</v>
      </c>
      <c r="Z484" s="75">
        <f t="shared" si="624"/>
        <v>7044183.7561199991</v>
      </c>
      <c r="AA484" s="75">
        <f t="shared" si="624"/>
        <v>-249072.88018786171</v>
      </c>
      <c r="AB484" s="75">
        <f t="shared" si="624"/>
        <v>6940833.0495525012</v>
      </c>
      <c r="AC484" s="75">
        <f t="shared" si="624"/>
        <v>-145722.17362036178</v>
      </c>
    </row>
    <row r="485" spans="1:29">
      <c r="A485" s="14"/>
      <c r="B485" s="17"/>
      <c r="C485" s="43"/>
      <c r="E485" s="153"/>
      <c r="F485" s="99"/>
      <c r="G485" s="72"/>
      <c r="I485" s="73"/>
      <c r="J485" s="73"/>
      <c r="K485" s="19"/>
      <c r="L485" s="19"/>
      <c r="M485" s="73"/>
      <c r="N485" s="27"/>
      <c r="O485" s="31"/>
      <c r="P485" s="19"/>
      <c r="S485" s="19"/>
      <c r="T485" s="19"/>
    </row>
    <row r="486" spans="1:29">
      <c r="A486" s="60"/>
      <c r="B486" s="22" t="s">
        <v>197</v>
      </c>
      <c r="C486" s="43"/>
      <c r="E486" s="153"/>
      <c r="F486" s="99"/>
      <c r="G486" s="72"/>
      <c r="I486" s="73"/>
      <c r="J486" s="73"/>
      <c r="K486" s="19"/>
      <c r="L486" s="19"/>
      <c r="M486" s="73"/>
      <c r="N486" s="27"/>
      <c r="O486" s="31"/>
      <c r="P486" s="19"/>
      <c r="S486" s="19"/>
      <c r="T486" s="19"/>
    </row>
    <row r="487" spans="1:29">
      <c r="A487" s="14">
        <v>341</v>
      </c>
      <c r="B487" s="15" t="s">
        <v>162</v>
      </c>
      <c r="C487" s="138">
        <v>50770</v>
      </c>
      <c r="D487" s="102">
        <v>1.5E-3</v>
      </c>
      <c r="E487" s="152">
        <f t="shared" ref="E487:E491" si="625">($E$412)</f>
        <v>0</v>
      </c>
      <c r="F487" s="98">
        <v>0</v>
      </c>
      <c r="G487" s="91">
        <f t="shared" ref="G487:G491" si="626">H487*F487/100</f>
        <v>0</v>
      </c>
      <c r="H487" s="74">
        <v>5437881</v>
      </c>
      <c r="I487" s="74">
        <v>696023</v>
      </c>
      <c r="J487" s="74">
        <f t="shared" ref="J487:J491" si="627">H487-G487-I487</f>
        <v>4741858</v>
      </c>
      <c r="K487" s="13">
        <f>2038-2011</f>
        <v>27</v>
      </c>
      <c r="L487" s="32">
        <f>(1-(D487/2)*K487)*K487</f>
        <v>26.453250000000001</v>
      </c>
      <c r="M487" s="74">
        <f>J487/L487</f>
        <v>179254.26932418512</v>
      </c>
      <c r="N487" s="68">
        <f>M487/H487</f>
        <v>3.2963992651583424E-2</v>
      </c>
      <c r="O487" s="32">
        <v>25.3</v>
      </c>
      <c r="P487" s="13">
        <v>189500</v>
      </c>
      <c r="Q487" s="119">
        <f t="shared" ref="Q487:Q491" si="628">M487-P487</f>
        <v>-10245.730675814877</v>
      </c>
      <c r="S487" s="13">
        <v>185424</v>
      </c>
      <c r="T487" s="13">
        <f t="shared" ref="T487:T491" si="629">M487-S487</f>
        <v>-6169.730675814877</v>
      </c>
      <c r="W487" s="124">
        <v>0.4200275</v>
      </c>
      <c r="Y487" s="79">
        <f t="shared" ref="Y487:Y491" si="630">M487*W487</f>
        <v>75291.72260856416</v>
      </c>
      <c r="Z487" s="79">
        <f t="shared" ref="Z487:Z491" si="631">P487*W487</f>
        <v>79595.211249999993</v>
      </c>
      <c r="AA487" s="79">
        <f t="shared" ref="AA487:AA491" si="632">Q487*W487</f>
        <v>-4303.4886414358334</v>
      </c>
      <c r="AB487" s="79">
        <f t="shared" ref="AB487:AB491" si="633">S487*W487</f>
        <v>77883.17916</v>
      </c>
      <c r="AC487" s="79">
        <f t="shared" ref="AC487:AC491" si="634">T487*W487</f>
        <v>-2591.4565514358333</v>
      </c>
    </row>
    <row r="488" spans="1:29">
      <c r="A488" s="14">
        <v>343</v>
      </c>
      <c r="B488" s="15" t="s">
        <v>83</v>
      </c>
      <c r="C488" s="138">
        <v>50770</v>
      </c>
      <c r="D488" s="102">
        <v>0</v>
      </c>
      <c r="E488" s="152">
        <v>6.0000000000000001E-3</v>
      </c>
      <c r="F488" s="98">
        <v>0</v>
      </c>
      <c r="G488" s="91">
        <f t="shared" si="626"/>
        <v>0</v>
      </c>
      <c r="H488" s="74">
        <v>161900089.22</v>
      </c>
      <c r="I488" s="74">
        <v>21376423</v>
      </c>
      <c r="J488" s="74">
        <f t="shared" si="627"/>
        <v>140523666.22</v>
      </c>
      <c r="K488" s="13">
        <f t="shared" ref="K488:K491" si="635">2038-2011</f>
        <v>27</v>
      </c>
      <c r="L488" s="32">
        <f>(1-(D488/2)*K488)*K488</f>
        <v>27</v>
      </c>
      <c r="M488" s="74">
        <f>J488/L488</f>
        <v>5204580.2303703707</v>
      </c>
      <c r="N488" s="68">
        <f>M488/H488</f>
        <v>3.2146864498005683E-2</v>
      </c>
      <c r="O488" s="32">
        <v>26.2</v>
      </c>
      <c r="P488" s="13">
        <v>5429046</v>
      </c>
      <c r="Q488" s="119">
        <f t="shared" si="628"/>
        <v>-224465.76962962933</v>
      </c>
      <c r="S488" s="13">
        <v>5349543</v>
      </c>
      <c r="T488" s="13">
        <f t="shared" si="629"/>
        <v>-144962.76962962933</v>
      </c>
      <c r="W488" s="124">
        <v>0.4200275</v>
      </c>
      <c r="Y488" s="79">
        <f t="shared" si="630"/>
        <v>2186066.822711891</v>
      </c>
      <c r="Z488" s="79">
        <f t="shared" si="631"/>
        <v>2280348.6187649998</v>
      </c>
      <c r="AA488" s="79">
        <f t="shared" si="632"/>
        <v>-94281.796053109138</v>
      </c>
      <c r="AB488" s="79">
        <f t="shared" si="633"/>
        <v>2246955.1724324999</v>
      </c>
      <c r="AC488" s="79">
        <f t="shared" si="634"/>
        <v>-60888.349720609134</v>
      </c>
    </row>
    <row r="489" spans="1:29">
      <c r="A489" s="14">
        <v>344</v>
      </c>
      <c r="B489" s="15" t="s">
        <v>84</v>
      </c>
      <c r="C489" s="138">
        <v>50770</v>
      </c>
      <c r="D489" s="102">
        <v>0</v>
      </c>
      <c r="E489" s="152">
        <v>1.5E-3</v>
      </c>
      <c r="F489" s="98">
        <v>0</v>
      </c>
      <c r="G489" s="91">
        <f t="shared" si="626"/>
        <v>0</v>
      </c>
      <c r="H489" s="74">
        <v>4495729.72</v>
      </c>
      <c r="I489" s="74">
        <v>578079</v>
      </c>
      <c r="J489" s="74">
        <f t="shared" si="627"/>
        <v>3917650.7199999997</v>
      </c>
      <c r="K489" s="13">
        <f t="shared" si="635"/>
        <v>27</v>
      </c>
      <c r="L489" s="32">
        <f>(1-(D489/2)*K489)*K489</f>
        <v>27</v>
      </c>
      <c r="M489" s="74">
        <f>J489/L489</f>
        <v>145098.17481481482</v>
      </c>
      <c r="N489" s="68">
        <f>M489/H489</f>
        <v>3.2274665927829585E-2</v>
      </c>
      <c r="O489" s="32">
        <v>26.2</v>
      </c>
      <c r="P489" s="13">
        <v>151320</v>
      </c>
      <c r="Q489" s="119">
        <f t="shared" si="628"/>
        <v>-6221.8251851851819</v>
      </c>
      <c r="S489" s="13">
        <v>148389</v>
      </c>
      <c r="T489" s="13">
        <f t="shared" si="629"/>
        <v>-3290.8251851851819</v>
      </c>
      <c r="W489" s="124">
        <v>0.4200275</v>
      </c>
      <c r="Y489" s="79">
        <f t="shared" si="630"/>
        <v>60945.223622029633</v>
      </c>
      <c r="Z489" s="79">
        <f t="shared" si="631"/>
        <v>63558.561300000001</v>
      </c>
      <c r="AA489" s="79">
        <f t="shared" si="632"/>
        <v>-2613.337677970369</v>
      </c>
      <c r="AB489" s="79">
        <f t="shared" si="633"/>
        <v>62327.460697499999</v>
      </c>
      <c r="AC489" s="79">
        <f t="shared" si="634"/>
        <v>-1382.2370754703691</v>
      </c>
    </row>
    <row r="490" spans="1:29">
      <c r="A490" s="14">
        <v>345</v>
      </c>
      <c r="B490" s="16" t="s">
        <v>13</v>
      </c>
      <c r="C490" s="138">
        <v>50770</v>
      </c>
      <c r="D490" s="102">
        <v>5.0000000000000001E-3</v>
      </c>
      <c r="E490" s="152">
        <f t="shared" si="625"/>
        <v>0</v>
      </c>
      <c r="F490" s="98">
        <v>0</v>
      </c>
      <c r="G490" s="91">
        <f t="shared" si="626"/>
        <v>0</v>
      </c>
      <c r="H490" s="74">
        <v>9673607.7899999991</v>
      </c>
      <c r="I490" s="74">
        <v>1224770</v>
      </c>
      <c r="J490" s="74">
        <f t="shared" si="627"/>
        <v>8448837.7899999991</v>
      </c>
      <c r="K490" s="13">
        <f t="shared" si="635"/>
        <v>27</v>
      </c>
      <c r="L490" s="32">
        <f>(1-(D490/2)*K490)*K490</f>
        <v>25.177499999999998</v>
      </c>
      <c r="M490" s="74">
        <f>J490/L490</f>
        <v>335570.95779962267</v>
      </c>
      <c r="N490" s="68">
        <f>M490/H490</f>
        <v>3.4689328437164463E-2</v>
      </c>
      <c r="O490" s="32">
        <v>26.5</v>
      </c>
      <c r="P490" s="13">
        <v>322231</v>
      </c>
      <c r="Q490" s="119">
        <f t="shared" si="628"/>
        <v>13339.957799622673</v>
      </c>
      <c r="S490" s="13">
        <v>316209</v>
      </c>
      <c r="T490" s="13">
        <f t="shared" si="629"/>
        <v>19361.957799622673</v>
      </c>
      <c r="W490" s="124">
        <v>0.4200275</v>
      </c>
      <c r="Y490" s="79">
        <f t="shared" si="630"/>
        <v>140949.03047718102</v>
      </c>
      <c r="Z490" s="79">
        <f t="shared" si="631"/>
        <v>135345.8813525</v>
      </c>
      <c r="AA490" s="79">
        <f t="shared" si="632"/>
        <v>5603.1491246810119</v>
      </c>
      <c r="AB490" s="79">
        <f t="shared" si="633"/>
        <v>132816.47574749999</v>
      </c>
      <c r="AC490" s="79">
        <f t="shared" si="634"/>
        <v>8132.5547296810118</v>
      </c>
    </row>
    <row r="491" spans="1:29">
      <c r="A491" s="14">
        <v>346</v>
      </c>
      <c r="B491" s="15" t="s">
        <v>378</v>
      </c>
      <c r="C491" s="138">
        <v>50770</v>
      </c>
      <c r="D491" s="102">
        <f t="shared" ref="D491" si="636">($E$412)</f>
        <v>0</v>
      </c>
      <c r="E491" s="152">
        <f t="shared" si="625"/>
        <v>0</v>
      </c>
      <c r="F491" s="98">
        <v>0</v>
      </c>
      <c r="G491" s="91">
        <f t="shared" si="626"/>
        <v>0</v>
      </c>
      <c r="H491" s="74">
        <v>172301</v>
      </c>
      <c r="I491" s="74">
        <v>22898</v>
      </c>
      <c r="J491" s="74">
        <f t="shared" si="627"/>
        <v>149403</v>
      </c>
      <c r="K491" s="13">
        <f t="shared" si="635"/>
        <v>27</v>
      </c>
      <c r="L491" s="32">
        <f>(1-(D491/2)*K491)*K491</f>
        <v>27</v>
      </c>
      <c r="M491" s="74">
        <f>J491/L491</f>
        <v>5533.4444444444443</v>
      </c>
      <c r="N491" s="88">
        <f>M491/H491</f>
        <v>3.2114987402536516E-2</v>
      </c>
      <c r="O491" s="32">
        <v>26.5</v>
      </c>
      <c r="P491" s="13">
        <v>5636</v>
      </c>
      <c r="Q491" s="119">
        <f t="shared" si="628"/>
        <v>-102.55555555555566</v>
      </c>
      <c r="S491" s="13">
        <v>5520</v>
      </c>
      <c r="T491" s="13">
        <f t="shared" si="629"/>
        <v>13.444444444444343</v>
      </c>
      <c r="W491" s="124">
        <v>0.4200275</v>
      </c>
      <c r="Y491" s="79">
        <f t="shared" si="630"/>
        <v>2324.198836388889</v>
      </c>
      <c r="Z491" s="79">
        <f t="shared" si="631"/>
        <v>2367.2749899999999</v>
      </c>
      <c r="AA491" s="79">
        <f t="shared" si="632"/>
        <v>-43.076153611111152</v>
      </c>
      <c r="AB491" s="79">
        <f t="shared" si="633"/>
        <v>2318.5518000000002</v>
      </c>
      <c r="AC491" s="79">
        <f t="shared" si="634"/>
        <v>5.6470363888888464</v>
      </c>
    </row>
    <row r="492" spans="1:29">
      <c r="A492" s="14"/>
      <c r="B492" s="33" t="s">
        <v>257</v>
      </c>
      <c r="C492" s="23"/>
      <c r="D492" s="102"/>
      <c r="E492" s="152"/>
      <c r="F492" s="99"/>
      <c r="G492" s="72"/>
      <c r="H492" s="75">
        <f>+SUBTOTAL(9,H487:H491)</f>
        <v>181679608.72999999</v>
      </c>
      <c r="I492" s="75">
        <f>+SUBTOTAL(9,I487:I491)</f>
        <v>23898193</v>
      </c>
      <c r="J492" s="75">
        <f>+SUBTOTAL(9,J487:J491)</f>
        <v>157781415.72999999</v>
      </c>
      <c r="K492" s="13"/>
      <c r="L492" s="13"/>
      <c r="M492" s="75">
        <f>+SUBTOTAL(9,M487:M491)</f>
        <v>5870037.0767534375</v>
      </c>
      <c r="N492" s="27">
        <f>+ROUND(M492/H492*100,2)</f>
        <v>3.23</v>
      </c>
      <c r="O492" s="31"/>
      <c r="P492" s="103">
        <f>+SUBTOTAL(9,P487:P491)</f>
        <v>6097733</v>
      </c>
      <c r="Q492" s="120">
        <f>+SUBTOTAL(9,Q487:Q491)</f>
        <v>-227695.92324656228</v>
      </c>
      <c r="S492" s="103">
        <f>+SUBTOTAL(9,S487:S491)</f>
        <v>6005085</v>
      </c>
      <c r="T492" s="103">
        <f>+SUBTOTAL(9,T487:T491)</f>
        <v>-135047.92324656228</v>
      </c>
      <c r="Y492" s="75">
        <f t="shared" ref="Y492:AC492" si="637">+SUBTOTAL(9,Y487:Y491)</f>
        <v>2465576.9982560547</v>
      </c>
      <c r="Z492" s="75">
        <f t="shared" si="637"/>
        <v>2561215.5476575</v>
      </c>
      <c r="AA492" s="75">
        <f t="shared" si="637"/>
        <v>-95638.549401445431</v>
      </c>
      <c r="AB492" s="75">
        <f t="shared" si="637"/>
        <v>2522300.8398374999</v>
      </c>
      <c r="AC492" s="75">
        <f t="shared" si="637"/>
        <v>-56723.841581445435</v>
      </c>
    </row>
    <row r="493" spans="1:29">
      <c r="A493" s="14"/>
      <c r="B493" s="17"/>
      <c r="C493" s="43"/>
      <c r="E493" s="153"/>
      <c r="F493" s="99"/>
      <c r="G493" s="72"/>
      <c r="I493" s="73"/>
      <c r="J493" s="73"/>
      <c r="K493" s="19"/>
      <c r="L493" s="19"/>
      <c r="M493" s="73"/>
      <c r="N493" s="27"/>
      <c r="O493" s="31"/>
      <c r="P493" s="19"/>
      <c r="S493" s="19"/>
      <c r="T493" s="19"/>
    </row>
    <row r="494" spans="1:29">
      <c r="A494" s="60"/>
      <c r="B494" s="22" t="s">
        <v>198</v>
      </c>
      <c r="C494" s="43"/>
      <c r="E494" s="153"/>
      <c r="F494" s="99"/>
      <c r="G494" s="72"/>
      <c r="I494" s="73"/>
      <c r="J494" s="73"/>
      <c r="K494" s="19"/>
      <c r="L494" s="19"/>
      <c r="M494" s="73"/>
      <c r="N494" s="27"/>
      <c r="O494" s="31"/>
      <c r="P494" s="19"/>
      <c r="S494" s="19"/>
      <c r="T494" s="19"/>
    </row>
    <row r="495" spans="1:29">
      <c r="A495" s="14">
        <v>341</v>
      </c>
      <c r="B495" s="15" t="s">
        <v>162</v>
      </c>
      <c r="C495" s="138">
        <v>51135</v>
      </c>
      <c r="D495" s="102">
        <v>1.5E-3</v>
      </c>
      <c r="E495" s="152">
        <f t="shared" ref="E495:E499" si="638">($E$412)</f>
        <v>0</v>
      </c>
      <c r="F495" s="98">
        <v>0</v>
      </c>
      <c r="G495" s="91">
        <f t="shared" ref="G495:G499" si="639">H495*F495/100</f>
        <v>0</v>
      </c>
      <c r="H495" s="74">
        <v>7826215.9100000001</v>
      </c>
      <c r="I495" s="74">
        <v>704676</v>
      </c>
      <c r="J495" s="74">
        <f t="shared" ref="J495:J499" si="640">H495-G495-I495</f>
        <v>7121539.9100000001</v>
      </c>
      <c r="K495" s="13">
        <f>2039-2011</f>
        <v>28</v>
      </c>
      <c r="L495" s="32">
        <f>(1-(D495/2)*K495)*K495</f>
        <v>27.411999999999999</v>
      </c>
      <c r="M495" s="74">
        <f>J495/L495</f>
        <v>259796.43623230702</v>
      </c>
      <c r="N495" s="68">
        <f>M495/H495</f>
        <v>3.3195664318479944E-2</v>
      </c>
      <c r="O495" s="32">
        <v>26.2</v>
      </c>
      <c r="P495" s="13">
        <v>274683</v>
      </c>
      <c r="Q495" s="119">
        <f t="shared" ref="Q495:Q499" si="641">M495-P495</f>
        <v>-14886.563767692976</v>
      </c>
      <c r="S495" s="13">
        <v>269174</v>
      </c>
      <c r="T495" s="13">
        <f t="shared" ref="T495:T499" si="642">M495-S495</f>
        <v>-9377.5637676929764</v>
      </c>
      <c r="W495" s="124">
        <v>0.4200275</v>
      </c>
      <c r="Y495" s="79">
        <f t="shared" ref="Y495:Y499" si="643">M495*W495</f>
        <v>109121.64761956534</v>
      </c>
      <c r="Z495" s="79">
        <f t="shared" ref="Z495:Z499" si="644">P495*W495</f>
        <v>115374.41378249999</v>
      </c>
      <c r="AA495" s="79">
        <f t="shared" ref="AA495:AA499" si="645">Q495*W495</f>
        <v>-6252.7661629346612</v>
      </c>
      <c r="AB495" s="79">
        <f t="shared" ref="AB495:AB499" si="646">S495*W495</f>
        <v>113060.48228500001</v>
      </c>
      <c r="AC495" s="79">
        <f t="shared" ref="AC495:AC499" si="647">T495*W495</f>
        <v>-3938.8346654346615</v>
      </c>
    </row>
    <row r="496" spans="1:29">
      <c r="A496" s="14">
        <v>343</v>
      </c>
      <c r="B496" s="15" t="s">
        <v>83</v>
      </c>
      <c r="C496" s="138">
        <v>51135</v>
      </c>
      <c r="D496" s="102">
        <v>0</v>
      </c>
      <c r="E496" s="152">
        <v>6.0000000000000001E-3</v>
      </c>
      <c r="F496" s="98">
        <v>0</v>
      </c>
      <c r="G496" s="91">
        <f t="shared" si="639"/>
        <v>0</v>
      </c>
      <c r="H496" s="74">
        <v>245354431.38999999</v>
      </c>
      <c r="I496" s="74">
        <v>23364404</v>
      </c>
      <c r="J496" s="74">
        <f t="shared" si="640"/>
        <v>221990027.38999999</v>
      </c>
      <c r="K496" s="13">
        <f t="shared" ref="K496:K499" si="648">2039-2011</f>
        <v>28</v>
      </c>
      <c r="L496" s="32">
        <f>(1-(D496/2)*K496)*K496</f>
        <v>28</v>
      </c>
      <c r="M496" s="74">
        <f>J496/L496</f>
        <v>7928215.2639285708</v>
      </c>
      <c r="N496" s="68">
        <f>M496/H496</f>
        <v>3.2313315960967412E-2</v>
      </c>
      <c r="O496" s="32">
        <v>27.2</v>
      </c>
      <c r="P496" s="13">
        <v>8266778</v>
      </c>
      <c r="Q496" s="119">
        <f t="shared" si="641"/>
        <v>-338562.73607142922</v>
      </c>
      <c r="S496" s="13">
        <v>8147661</v>
      </c>
      <c r="T496" s="13">
        <f t="shared" si="642"/>
        <v>-219445.73607142922</v>
      </c>
      <c r="W496" s="124">
        <v>0.4200275</v>
      </c>
      <c r="Y496" s="79">
        <f t="shared" si="643"/>
        <v>3330068.4367697579</v>
      </c>
      <c r="Z496" s="79">
        <f t="shared" si="644"/>
        <v>3472274.0963949999</v>
      </c>
      <c r="AA496" s="79">
        <f t="shared" si="645"/>
        <v>-142205.65962524223</v>
      </c>
      <c r="AB496" s="79">
        <f t="shared" si="646"/>
        <v>3422241.6806775001</v>
      </c>
      <c r="AC496" s="79">
        <f t="shared" si="647"/>
        <v>-92173.243907742231</v>
      </c>
    </row>
    <row r="497" spans="1:29">
      <c r="A497" s="14">
        <v>344</v>
      </c>
      <c r="B497" s="15" t="s">
        <v>84</v>
      </c>
      <c r="C497" s="138">
        <v>51135</v>
      </c>
      <c r="D497" s="102">
        <v>0</v>
      </c>
      <c r="E497" s="152">
        <v>1.5E-3</v>
      </c>
      <c r="F497" s="98">
        <v>0</v>
      </c>
      <c r="G497" s="91">
        <f t="shared" si="639"/>
        <v>0</v>
      </c>
      <c r="H497" s="74">
        <v>6957137.3200000003</v>
      </c>
      <c r="I497" s="74">
        <v>662797</v>
      </c>
      <c r="J497" s="74">
        <f t="shared" si="640"/>
        <v>6294340.3200000003</v>
      </c>
      <c r="K497" s="13">
        <f t="shared" si="648"/>
        <v>28</v>
      </c>
      <c r="L497" s="32">
        <f>(1-(D497/2)*K497)*K497</f>
        <v>28</v>
      </c>
      <c r="M497" s="74">
        <f>J497/L497</f>
        <v>224797.86857142858</v>
      </c>
      <c r="N497" s="68">
        <f>M497/H497</f>
        <v>3.2311834340999983E-2</v>
      </c>
      <c r="O497" s="32">
        <v>27.2</v>
      </c>
      <c r="P497" s="13">
        <v>234398</v>
      </c>
      <c r="Q497" s="119">
        <f t="shared" si="641"/>
        <v>-9600.1314285714179</v>
      </c>
      <c r="S497" s="13">
        <v>230133</v>
      </c>
      <c r="T497" s="13">
        <f t="shared" si="642"/>
        <v>-5335.1314285714179</v>
      </c>
      <c r="W497" s="124">
        <v>0.4200275</v>
      </c>
      <c r="Y497" s="79">
        <f t="shared" si="643"/>
        <v>94421.286741385717</v>
      </c>
      <c r="Z497" s="79">
        <f t="shared" si="644"/>
        <v>98453.605945000003</v>
      </c>
      <c r="AA497" s="79">
        <f t="shared" si="645"/>
        <v>-4032.3192036142814</v>
      </c>
      <c r="AB497" s="79">
        <f t="shared" si="646"/>
        <v>96662.188657499995</v>
      </c>
      <c r="AC497" s="79">
        <f t="shared" si="647"/>
        <v>-2240.9019161142814</v>
      </c>
    </row>
    <row r="498" spans="1:29">
      <c r="A498" s="14">
        <v>345</v>
      </c>
      <c r="B498" s="16" t="s">
        <v>13</v>
      </c>
      <c r="C498" s="138">
        <v>51135</v>
      </c>
      <c r="D498" s="102">
        <v>5.0000000000000001E-3</v>
      </c>
      <c r="E498" s="152">
        <f t="shared" si="638"/>
        <v>0</v>
      </c>
      <c r="F498" s="98">
        <v>0</v>
      </c>
      <c r="G498" s="91">
        <f t="shared" si="639"/>
        <v>0</v>
      </c>
      <c r="H498" s="74">
        <v>14747043.32</v>
      </c>
      <c r="I498" s="74">
        <v>1402520</v>
      </c>
      <c r="J498" s="74">
        <f t="shared" si="640"/>
        <v>13344523.32</v>
      </c>
      <c r="K498" s="13">
        <f t="shared" si="648"/>
        <v>28</v>
      </c>
      <c r="L498" s="32">
        <f>(1-(D498/2)*K498)*K498</f>
        <v>26.04</v>
      </c>
      <c r="M498" s="74">
        <f>J498/L498</f>
        <v>512462.49308755761</v>
      </c>
      <c r="N498" s="68">
        <f>M498/H498</f>
        <v>3.4750185645183118E-2</v>
      </c>
      <c r="O498" s="32">
        <v>27.5</v>
      </c>
      <c r="P498" s="13">
        <v>490599</v>
      </c>
      <c r="Q498" s="119">
        <f t="shared" si="641"/>
        <v>21863.49308755761</v>
      </c>
      <c r="S498" s="13">
        <v>481879</v>
      </c>
      <c r="T498" s="13">
        <f t="shared" si="642"/>
        <v>30583.49308755761</v>
      </c>
      <c r="W498" s="124">
        <v>0.4200275</v>
      </c>
      <c r="Y498" s="79">
        <f t="shared" si="643"/>
        <v>215248.3398153341</v>
      </c>
      <c r="Z498" s="79">
        <f t="shared" si="644"/>
        <v>206065.07147249999</v>
      </c>
      <c r="AA498" s="79">
        <f t="shared" si="645"/>
        <v>9183.2683428341043</v>
      </c>
      <c r="AB498" s="79">
        <f t="shared" si="646"/>
        <v>202402.43167250001</v>
      </c>
      <c r="AC498" s="79">
        <f t="shared" si="647"/>
        <v>12845.908142834103</v>
      </c>
    </row>
    <row r="499" spans="1:29">
      <c r="A499" s="14">
        <v>346</v>
      </c>
      <c r="B499" s="15" t="s">
        <v>378</v>
      </c>
      <c r="C499" s="138">
        <v>51135</v>
      </c>
      <c r="D499" s="102">
        <f t="shared" ref="D499" si="649">($E$412)</f>
        <v>0</v>
      </c>
      <c r="E499" s="152">
        <f t="shared" si="638"/>
        <v>0</v>
      </c>
      <c r="F499" s="98">
        <v>0</v>
      </c>
      <c r="G499" s="91">
        <f t="shared" si="639"/>
        <v>0</v>
      </c>
      <c r="H499" s="74">
        <v>113708.5</v>
      </c>
      <c r="I499" s="74">
        <v>10800</v>
      </c>
      <c r="J499" s="74">
        <f t="shared" si="640"/>
        <v>102908.5</v>
      </c>
      <c r="K499" s="13">
        <f t="shared" si="648"/>
        <v>28</v>
      </c>
      <c r="L499" s="32">
        <f>(1-(D499/2)*K499)*K499</f>
        <v>28</v>
      </c>
      <c r="M499" s="74">
        <f>J499/L499</f>
        <v>3675.3035714285716</v>
      </c>
      <c r="N499" s="88">
        <f>M499/H499</f>
        <v>3.2322153325640313E-2</v>
      </c>
      <c r="O499" s="32">
        <v>27.5</v>
      </c>
      <c r="P499" s="13">
        <v>3742</v>
      </c>
      <c r="Q499" s="119">
        <f t="shared" si="641"/>
        <v>-66.696428571428442</v>
      </c>
      <c r="S499" s="13">
        <v>3672</v>
      </c>
      <c r="T499" s="13">
        <f t="shared" si="642"/>
        <v>3.3035714285715585</v>
      </c>
      <c r="W499" s="124">
        <v>0.4200275</v>
      </c>
      <c r="Y499" s="79">
        <f t="shared" si="643"/>
        <v>1543.7285708482143</v>
      </c>
      <c r="Z499" s="79">
        <f t="shared" si="644"/>
        <v>1571.7429050000001</v>
      </c>
      <c r="AA499" s="79">
        <f t="shared" si="645"/>
        <v>-28.014334151785661</v>
      </c>
      <c r="AB499" s="79">
        <f t="shared" si="646"/>
        <v>1542.3409799999999</v>
      </c>
      <c r="AC499" s="79">
        <f t="shared" si="647"/>
        <v>1.3875908482143402</v>
      </c>
    </row>
    <row r="500" spans="1:29">
      <c r="A500" s="14"/>
      <c r="B500" s="33" t="s">
        <v>258</v>
      </c>
      <c r="C500" s="23"/>
      <c r="D500" s="102"/>
      <c r="E500" s="152"/>
      <c r="F500" s="99"/>
      <c r="G500" s="72"/>
      <c r="H500" s="75">
        <f>+SUBTOTAL(9,H495:H499)</f>
        <v>274998536.44</v>
      </c>
      <c r="I500" s="75">
        <f>+SUBTOTAL(9,I495:I499)</f>
        <v>26145197</v>
      </c>
      <c r="J500" s="75">
        <f>+SUBTOTAL(9,J495:J499)</f>
        <v>248853339.43999997</v>
      </c>
      <c r="K500" s="13"/>
      <c r="L500" s="13"/>
      <c r="M500" s="75">
        <f>+SUBTOTAL(9,M495:M499)</f>
        <v>8928947.3653912935</v>
      </c>
      <c r="N500" s="27">
        <f>+ROUND(M500/H500*100,2)</f>
        <v>3.25</v>
      </c>
      <c r="O500" s="31"/>
      <c r="P500" s="103">
        <f>+SUBTOTAL(9,P495:P499)</f>
        <v>9270200</v>
      </c>
      <c r="Q500" s="120">
        <f>+SUBTOTAL(9,Q495:Q499)</f>
        <v>-341252.63460870745</v>
      </c>
      <c r="S500" s="103">
        <f>+SUBTOTAL(9,S495:S499)</f>
        <v>9132519</v>
      </c>
      <c r="T500" s="103">
        <f>+SUBTOTAL(9,T495:T499)</f>
        <v>-203571.63460870742</v>
      </c>
      <c r="Y500" s="75">
        <f t="shared" ref="Y500:AC500" si="650">+SUBTOTAL(9,Y495:Y499)</f>
        <v>3750403.4395168913</v>
      </c>
      <c r="Z500" s="75">
        <f t="shared" si="650"/>
        <v>3893738.9305000002</v>
      </c>
      <c r="AA500" s="75">
        <f t="shared" si="650"/>
        <v>-143335.49098310884</v>
      </c>
      <c r="AB500" s="75">
        <f t="shared" si="650"/>
        <v>3835909.1242724997</v>
      </c>
      <c r="AC500" s="75">
        <f t="shared" si="650"/>
        <v>-85505.684755608861</v>
      </c>
    </row>
    <row r="501" spans="1:29">
      <c r="A501" s="14"/>
      <c r="B501" s="17"/>
      <c r="C501" s="43"/>
      <c r="E501" s="153"/>
      <c r="F501" s="99"/>
      <c r="G501" s="72"/>
      <c r="I501" s="73"/>
      <c r="J501" s="73"/>
      <c r="K501" s="19"/>
      <c r="L501" s="19"/>
      <c r="M501" s="73"/>
      <c r="N501" s="27"/>
      <c r="O501" s="31"/>
      <c r="P501" s="19"/>
      <c r="S501" s="19"/>
      <c r="T501" s="19"/>
    </row>
    <row r="502" spans="1:29">
      <c r="A502" s="60"/>
      <c r="B502" s="22" t="s">
        <v>199</v>
      </c>
      <c r="C502" s="43"/>
      <c r="E502" s="153"/>
      <c r="F502" s="99"/>
      <c r="G502" s="72"/>
      <c r="I502" s="73"/>
      <c r="J502" s="73"/>
      <c r="K502" s="19"/>
      <c r="L502" s="19"/>
      <c r="M502" s="73"/>
      <c r="N502" s="27"/>
      <c r="O502" s="31"/>
      <c r="P502" s="19"/>
      <c r="S502" s="19"/>
      <c r="T502" s="19"/>
    </row>
    <row r="503" spans="1:29">
      <c r="A503" s="14">
        <v>341</v>
      </c>
      <c r="B503" s="15" t="s">
        <v>162</v>
      </c>
      <c r="C503" s="138">
        <v>50040</v>
      </c>
      <c r="D503" s="102">
        <v>1.5E-3</v>
      </c>
      <c r="E503" s="152">
        <f t="shared" ref="E503:E507" si="651">($E$412)</f>
        <v>0</v>
      </c>
      <c r="F503" s="98">
        <v>0</v>
      </c>
      <c r="G503" s="91">
        <f t="shared" ref="G503:G507" si="652">H503*F503/100</f>
        <v>0</v>
      </c>
      <c r="H503" s="74">
        <v>4944194.3099999996</v>
      </c>
      <c r="I503" s="74">
        <v>995607</v>
      </c>
      <c r="J503" s="74">
        <f t="shared" ref="J503:J507" si="653">H503-G503-I503</f>
        <v>3948587.3099999996</v>
      </c>
      <c r="K503" s="13">
        <f>2036-2011</f>
        <v>25</v>
      </c>
      <c r="L503" s="32">
        <f>(1-(D503/2)*K503)*K503</f>
        <v>24.53125</v>
      </c>
      <c r="M503" s="74">
        <f>J503/L503</f>
        <v>160961.52091719743</v>
      </c>
      <c r="N503" s="68">
        <f>M503/H503</f>
        <v>3.2555662424440079E-2</v>
      </c>
      <c r="O503" s="32">
        <v>23.5</v>
      </c>
      <c r="P503" s="13">
        <v>170057</v>
      </c>
      <c r="Q503" s="119">
        <f t="shared" ref="Q503:Q507" si="654">M503-P503</f>
        <v>-9095.4790828025725</v>
      </c>
      <c r="S503" s="13">
        <v>166349</v>
      </c>
      <c r="T503" s="13">
        <f t="shared" ref="T503:T507" si="655">M503-S503</f>
        <v>-5387.4790828025725</v>
      </c>
      <c r="W503" s="124">
        <v>0.4200275</v>
      </c>
      <c r="Y503" s="79">
        <f t="shared" ref="Y503:Y507" si="656">M503*W503</f>
        <v>67608.265227048149</v>
      </c>
      <c r="Z503" s="79">
        <f t="shared" ref="Z503:Z507" si="657">P503*W503</f>
        <v>71428.616567499994</v>
      </c>
      <c r="AA503" s="79">
        <f t="shared" ref="AA503:AA507" si="658">Q503*W503</f>
        <v>-3820.3513404518576</v>
      </c>
      <c r="AB503" s="79">
        <f t="shared" ref="AB503:AB507" si="659">S503*W503</f>
        <v>69871.154597500004</v>
      </c>
      <c r="AC503" s="79">
        <f t="shared" ref="AC503:AC507" si="660">T503*W503</f>
        <v>-2262.8893704518573</v>
      </c>
    </row>
    <row r="504" spans="1:29">
      <c r="A504" s="14">
        <v>343</v>
      </c>
      <c r="B504" s="15" t="s">
        <v>83</v>
      </c>
      <c r="C504" s="138">
        <v>50040</v>
      </c>
      <c r="D504" s="102">
        <v>0</v>
      </c>
      <c r="E504" s="152">
        <v>6.0000000000000001E-3</v>
      </c>
      <c r="F504" s="98">
        <v>0</v>
      </c>
      <c r="G504" s="91">
        <f t="shared" si="652"/>
        <v>0</v>
      </c>
      <c r="H504" s="74">
        <v>155200731.50999999</v>
      </c>
      <c r="I504" s="74">
        <v>32084829</v>
      </c>
      <c r="J504" s="74">
        <f t="shared" si="653"/>
        <v>123115902.50999999</v>
      </c>
      <c r="K504" s="13">
        <f t="shared" ref="K504:K507" si="661">2036-2011</f>
        <v>25</v>
      </c>
      <c r="L504" s="32">
        <f>(1-(D504/2)*K504)*K504</f>
        <v>25</v>
      </c>
      <c r="M504" s="74">
        <f>J504/L504</f>
        <v>4924636.1003999999</v>
      </c>
      <c r="N504" s="68">
        <f>M504/H504</f>
        <v>3.1730753151010066E-2</v>
      </c>
      <c r="O504" s="32">
        <v>24.3</v>
      </c>
      <c r="P504" s="13">
        <v>5140304</v>
      </c>
      <c r="Q504" s="119">
        <f t="shared" si="654"/>
        <v>-215667.89960000012</v>
      </c>
      <c r="S504" s="13">
        <v>5067944</v>
      </c>
      <c r="T504" s="13">
        <f t="shared" si="655"/>
        <v>-143307.89960000012</v>
      </c>
      <c r="W504" s="124">
        <v>0.4200275</v>
      </c>
      <c r="Y504" s="79">
        <f t="shared" si="656"/>
        <v>2068482.5896607609</v>
      </c>
      <c r="Z504" s="79">
        <f t="shared" si="657"/>
        <v>2159069.0383600001</v>
      </c>
      <c r="AA504" s="79">
        <f t="shared" si="658"/>
        <v>-90586.448699239045</v>
      </c>
      <c r="AB504" s="79">
        <f t="shared" si="659"/>
        <v>2128675.84846</v>
      </c>
      <c r="AC504" s="79">
        <f t="shared" si="660"/>
        <v>-60193.258799239047</v>
      </c>
    </row>
    <row r="505" spans="1:29">
      <c r="A505" s="14">
        <v>344</v>
      </c>
      <c r="B505" s="15" t="s">
        <v>84</v>
      </c>
      <c r="C505" s="138">
        <v>50040</v>
      </c>
      <c r="D505" s="102">
        <v>0</v>
      </c>
      <c r="E505" s="152">
        <v>1.5E-3</v>
      </c>
      <c r="F505" s="98">
        <v>0</v>
      </c>
      <c r="G505" s="91">
        <f t="shared" si="652"/>
        <v>0</v>
      </c>
      <c r="H505" s="74">
        <v>5450980.0700000003</v>
      </c>
      <c r="I505" s="74">
        <v>1096696</v>
      </c>
      <c r="J505" s="74">
        <f t="shared" si="653"/>
        <v>4354284.07</v>
      </c>
      <c r="K505" s="13">
        <f t="shared" si="661"/>
        <v>25</v>
      </c>
      <c r="L505" s="32">
        <f>(1-(D505/2)*K505)*K505</f>
        <v>25</v>
      </c>
      <c r="M505" s="74">
        <f>J505/L505</f>
        <v>174171.3628</v>
      </c>
      <c r="N505" s="68">
        <f>M505/H505</f>
        <v>3.1952302258188223E-2</v>
      </c>
      <c r="O505" s="32">
        <v>24.3</v>
      </c>
      <c r="P505" s="13">
        <v>181726</v>
      </c>
      <c r="Q505" s="119">
        <f t="shared" si="654"/>
        <v>-7554.6371999999974</v>
      </c>
      <c r="S505" s="13">
        <v>178237</v>
      </c>
      <c r="T505" s="13">
        <f t="shared" si="655"/>
        <v>-4065.6371999999974</v>
      </c>
      <c r="W505" s="124">
        <v>0.4200275</v>
      </c>
      <c r="Y505" s="79">
        <f t="shared" si="656"/>
        <v>73156.762088477</v>
      </c>
      <c r="Z505" s="79">
        <f t="shared" si="657"/>
        <v>76329.917465000006</v>
      </c>
      <c r="AA505" s="79">
        <f t="shared" si="658"/>
        <v>-3173.1553765229987</v>
      </c>
      <c r="AB505" s="79">
        <f t="shared" si="659"/>
        <v>74864.441517500003</v>
      </c>
      <c r="AC505" s="79">
        <f t="shared" si="660"/>
        <v>-1707.6794290229989</v>
      </c>
    </row>
    <row r="506" spans="1:29">
      <c r="A506" s="14">
        <v>345</v>
      </c>
      <c r="B506" s="16" t="s">
        <v>13</v>
      </c>
      <c r="C506" s="138">
        <v>50040</v>
      </c>
      <c r="D506" s="102">
        <v>5.0000000000000001E-3</v>
      </c>
      <c r="E506" s="152">
        <f t="shared" si="651"/>
        <v>0</v>
      </c>
      <c r="F506" s="98">
        <v>-1</v>
      </c>
      <c r="G506" s="91">
        <f t="shared" si="652"/>
        <v>-90731.832899999994</v>
      </c>
      <c r="H506" s="74">
        <v>9073183.2899999991</v>
      </c>
      <c r="I506" s="74">
        <v>1837461</v>
      </c>
      <c r="J506" s="74">
        <f t="shared" si="653"/>
        <v>7326454.1228999998</v>
      </c>
      <c r="K506" s="13">
        <f t="shared" si="661"/>
        <v>25</v>
      </c>
      <c r="L506" s="32">
        <f>(1-(D506/2)*K506)*K506</f>
        <v>23.4375</v>
      </c>
      <c r="M506" s="74">
        <f>J506/L506</f>
        <v>312595.37591040001</v>
      </c>
      <c r="N506" s="68">
        <f>M506/H506</f>
        <v>3.4452668475784758E-2</v>
      </c>
      <c r="O506" s="32">
        <v>24.5</v>
      </c>
      <c r="P506" s="13">
        <v>298438</v>
      </c>
      <c r="Q506" s="119">
        <f t="shared" si="654"/>
        <v>14157.375910400006</v>
      </c>
      <c r="S506" s="13">
        <v>292805</v>
      </c>
      <c r="T506" s="13">
        <f t="shared" si="655"/>
        <v>19790.375910400006</v>
      </c>
      <c r="W506" s="124">
        <v>0.4200275</v>
      </c>
      <c r="Y506" s="79">
        <f t="shared" si="656"/>
        <v>131298.65425520553</v>
      </c>
      <c r="Z506" s="79">
        <f t="shared" si="657"/>
        <v>125352.16704499999</v>
      </c>
      <c r="AA506" s="79">
        <f t="shared" si="658"/>
        <v>5946.4872102055378</v>
      </c>
      <c r="AB506" s="79">
        <f t="shared" si="659"/>
        <v>122986.1521375</v>
      </c>
      <c r="AC506" s="79">
        <f t="shared" si="660"/>
        <v>8312.5021177055387</v>
      </c>
    </row>
    <row r="507" spans="1:29">
      <c r="A507" s="14">
        <v>346</v>
      </c>
      <c r="B507" s="15" t="s">
        <v>378</v>
      </c>
      <c r="C507" s="138">
        <v>50040</v>
      </c>
      <c r="D507" s="102">
        <f t="shared" ref="D507" si="662">($E$412)</f>
        <v>0</v>
      </c>
      <c r="E507" s="152">
        <f t="shared" si="651"/>
        <v>0</v>
      </c>
      <c r="F507" s="98">
        <v>0</v>
      </c>
      <c r="G507" s="91">
        <f t="shared" si="652"/>
        <v>0</v>
      </c>
      <c r="H507" s="74">
        <v>81035.73</v>
      </c>
      <c r="I507" s="74">
        <v>17052</v>
      </c>
      <c r="J507" s="74">
        <f t="shared" si="653"/>
        <v>63983.729999999996</v>
      </c>
      <c r="K507" s="13">
        <f t="shared" si="661"/>
        <v>25</v>
      </c>
      <c r="L507" s="32">
        <f>(1-(D507/2)*K507)*K507</f>
        <v>25</v>
      </c>
      <c r="M507" s="74">
        <f>J507/L507</f>
        <v>2559.3491999999997</v>
      </c>
      <c r="N507" s="88">
        <f>M507/H507</f>
        <v>3.1582972103786806E-2</v>
      </c>
      <c r="O507" s="32">
        <v>24.5</v>
      </c>
      <c r="P507" s="13">
        <v>2640</v>
      </c>
      <c r="Q507" s="119">
        <f t="shared" si="654"/>
        <v>-80.650800000000345</v>
      </c>
      <c r="S507" s="13">
        <v>2588</v>
      </c>
      <c r="T507" s="13">
        <f t="shared" si="655"/>
        <v>-28.650800000000345</v>
      </c>
      <c r="W507" s="124">
        <v>0.4200275</v>
      </c>
      <c r="Y507" s="79">
        <f t="shared" si="656"/>
        <v>1074.9970461029998</v>
      </c>
      <c r="Z507" s="79">
        <f t="shared" si="657"/>
        <v>1108.8725999999999</v>
      </c>
      <c r="AA507" s="79">
        <f t="shared" si="658"/>
        <v>-33.875553897000145</v>
      </c>
      <c r="AB507" s="79">
        <f t="shared" si="659"/>
        <v>1087.03117</v>
      </c>
      <c r="AC507" s="79">
        <f t="shared" si="660"/>
        <v>-12.034123897000145</v>
      </c>
    </row>
    <row r="508" spans="1:29">
      <c r="A508" s="14"/>
      <c r="B508" s="33" t="s">
        <v>259</v>
      </c>
      <c r="C508" s="23"/>
      <c r="D508" s="102"/>
      <c r="E508" s="152"/>
      <c r="F508" s="99"/>
      <c r="G508" s="72"/>
      <c r="H508" s="75">
        <f>+SUBTOTAL(9,H503:H507)</f>
        <v>174750124.90999997</v>
      </c>
      <c r="I508" s="75">
        <f>+SUBTOTAL(9,I503:I507)</f>
        <v>36031645</v>
      </c>
      <c r="J508" s="75">
        <f>+SUBTOTAL(9,J503:J507)</f>
        <v>138809211.74289998</v>
      </c>
      <c r="K508" s="13"/>
      <c r="L508" s="13"/>
      <c r="M508" s="75">
        <f>+SUBTOTAL(9,M503:M507)</f>
        <v>5574923.7092275983</v>
      </c>
      <c r="N508" s="27">
        <f>+ROUND(M508/H508*100,2)</f>
        <v>3.19</v>
      </c>
      <c r="O508" s="31"/>
      <c r="P508" s="103">
        <f>+SUBTOTAL(9,P503:P507)</f>
        <v>5793165</v>
      </c>
      <c r="Q508" s="120">
        <f>+SUBTOTAL(9,Q503:Q507)</f>
        <v>-218241.29077240269</v>
      </c>
      <c r="S508" s="103">
        <f>+SUBTOTAL(9,S503:S507)</f>
        <v>5707923</v>
      </c>
      <c r="T508" s="103">
        <f>+SUBTOTAL(9,T503:T507)</f>
        <v>-132999.29077240269</v>
      </c>
      <c r="Y508" s="75">
        <f t="shared" ref="Y508:AC508" si="663">+SUBTOTAL(9,Y503:Y507)</f>
        <v>2341621.2682775948</v>
      </c>
      <c r="Z508" s="75">
        <f t="shared" si="663"/>
        <v>2433288.6120374999</v>
      </c>
      <c r="AA508" s="75">
        <f t="shared" si="663"/>
        <v>-91667.343759905372</v>
      </c>
      <c r="AB508" s="75">
        <f t="shared" si="663"/>
        <v>2397484.6278824997</v>
      </c>
      <c r="AC508" s="75">
        <f t="shared" si="663"/>
        <v>-55863.359604905359</v>
      </c>
    </row>
    <row r="509" spans="1:29">
      <c r="A509" s="14"/>
      <c r="B509" s="17"/>
      <c r="C509" s="43"/>
      <c r="E509" s="153"/>
      <c r="F509" s="99"/>
      <c r="G509" s="72"/>
      <c r="I509" s="73"/>
      <c r="J509" s="73"/>
      <c r="K509" s="19"/>
      <c r="L509" s="19"/>
      <c r="M509" s="73"/>
      <c r="N509" s="27"/>
      <c r="O509" s="31"/>
      <c r="P509" s="19"/>
      <c r="S509" s="19"/>
      <c r="T509" s="19"/>
    </row>
    <row r="510" spans="1:29">
      <c r="A510" s="60"/>
      <c r="B510" s="22" t="s">
        <v>200</v>
      </c>
      <c r="C510" s="43"/>
      <c r="E510" s="153"/>
      <c r="F510" s="99"/>
      <c r="G510" s="72"/>
      <c r="I510" s="73"/>
      <c r="J510" s="73"/>
      <c r="K510" s="19"/>
      <c r="L510" s="19"/>
      <c r="M510" s="73"/>
      <c r="N510" s="27"/>
      <c r="O510" s="31"/>
      <c r="P510" s="19"/>
      <c r="S510" s="19"/>
      <c r="T510" s="19"/>
    </row>
    <row r="511" spans="1:29">
      <c r="A511" s="14">
        <v>341</v>
      </c>
      <c r="B511" s="15" t="s">
        <v>162</v>
      </c>
      <c r="C511" s="138">
        <v>50405</v>
      </c>
      <c r="D511" s="102">
        <v>1.5E-3</v>
      </c>
      <c r="E511" s="152">
        <f t="shared" ref="E511:E515" si="664">($E$412)</f>
        <v>0</v>
      </c>
      <c r="F511" s="98">
        <v>0</v>
      </c>
      <c r="G511" s="91">
        <f t="shared" ref="G511:G515" si="665">H511*F511/100</f>
        <v>0</v>
      </c>
      <c r="H511" s="74">
        <v>10204779.66</v>
      </c>
      <c r="I511" s="74">
        <v>1552881</v>
      </c>
      <c r="J511" s="74">
        <f t="shared" ref="J511:J515" si="666">H511-G511-I511</f>
        <v>8651898.6600000001</v>
      </c>
      <c r="K511" s="13">
        <f>2037-2011</f>
        <v>26</v>
      </c>
      <c r="L511" s="32">
        <f>(1-(D511/2)*K511)*K511</f>
        <v>25.493000000000002</v>
      </c>
      <c r="M511" s="74">
        <f>J511/L511</f>
        <v>339383.30757462833</v>
      </c>
      <c r="N511" s="68">
        <f>M511/H511</f>
        <v>3.3257289121578971E-2</v>
      </c>
      <c r="O511" s="32">
        <v>24.4</v>
      </c>
      <c r="P511" s="13">
        <v>358447</v>
      </c>
      <c r="Q511" s="119">
        <f t="shared" ref="Q511:Q515" si="667">M511-P511</f>
        <v>-19063.692425371672</v>
      </c>
      <c r="S511" s="13">
        <v>350882</v>
      </c>
      <c r="T511" s="13">
        <f t="shared" ref="T511:T515" si="668">M511-S511</f>
        <v>-11498.692425371672</v>
      </c>
      <c r="W511" s="124">
        <v>0.4200275</v>
      </c>
      <c r="Y511" s="79">
        <f t="shared" ref="Y511:Y515" si="669">M511*W511</f>
        <v>142550.3222223022</v>
      </c>
      <c r="Z511" s="79">
        <f t="shared" ref="Z511:Z515" si="670">P511*W511</f>
        <v>150557.5972925</v>
      </c>
      <c r="AA511" s="79">
        <f t="shared" ref="AA511:AA515" si="671">Q511*W511</f>
        <v>-8007.2750701977993</v>
      </c>
      <c r="AB511" s="79">
        <f t="shared" ref="AB511:AB515" si="672">S511*W511</f>
        <v>147380.089255</v>
      </c>
      <c r="AC511" s="79">
        <f t="shared" ref="AC511:AC515" si="673">T511*W511</f>
        <v>-4829.7670326977996</v>
      </c>
    </row>
    <row r="512" spans="1:29">
      <c r="A512" s="14">
        <v>343</v>
      </c>
      <c r="B512" s="15" t="s">
        <v>83</v>
      </c>
      <c r="C512" s="138">
        <v>50405</v>
      </c>
      <c r="D512" s="102">
        <v>0</v>
      </c>
      <c r="E512" s="152">
        <v>6.0000000000000001E-3</v>
      </c>
      <c r="F512" s="98">
        <v>0</v>
      </c>
      <c r="G512" s="91">
        <f t="shared" si="665"/>
        <v>0</v>
      </c>
      <c r="H512" s="74">
        <v>325732057.39999998</v>
      </c>
      <c r="I512" s="74">
        <v>52036563</v>
      </c>
      <c r="J512" s="74">
        <f t="shared" si="666"/>
        <v>273695494.39999998</v>
      </c>
      <c r="K512" s="13">
        <f t="shared" ref="K512:K515" si="674">2037-2011</f>
        <v>26</v>
      </c>
      <c r="L512" s="32">
        <f>(1-(D512/2)*K512)*K512</f>
        <v>26</v>
      </c>
      <c r="M512" s="74">
        <f>J512/L512</f>
        <v>10526749.784615384</v>
      </c>
      <c r="N512" s="68">
        <f>M512/H512</f>
        <v>3.2317205339382676E-2</v>
      </c>
      <c r="O512" s="32">
        <v>25.2</v>
      </c>
      <c r="P512" s="13">
        <v>10978103</v>
      </c>
      <c r="Q512" s="119">
        <f t="shared" si="667"/>
        <v>-451353.21538461559</v>
      </c>
      <c r="S512" s="13">
        <v>10828012</v>
      </c>
      <c r="T512" s="13">
        <f t="shared" si="668"/>
        <v>-301262.21538461559</v>
      </c>
      <c r="W512" s="124">
        <v>0.4200275</v>
      </c>
      <c r="Y512" s="79">
        <f t="shared" si="669"/>
        <v>4421524.3951575384</v>
      </c>
      <c r="Z512" s="79">
        <f t="shared" si="670"/>
        <v>4611105.1578324996</v>
      </c>
      <c r="AA512" s="79">
        <f t="shared" si="671"/>
        <v>-189580.76267496162</v>
      </c>
      <c r="AB512" s="79">
        <f t="shared" si="672"/>
        <v>4548062.8103299998</v>
      </c>
      <c r="AC512" s="79">
        <f t="shared" si="673"/>
        <v>-126538.41517246162</v>
      </c>
    </row>
    <row r="513" spans="1:29">
      <c r="A513" s="14">
        <v>344</v>
      </c>
      <c r="B513" s="15" t="s">
        <v>84</v>
      </c>
      <c r="C513" s="138">
        <v>50405</v>
      </c>
      <c r="D513" s="102">
        <v>0</v>
      </c>
      <c r="E513" s="152">
        <v>1.5E-3</v>
      </c>
      <c r="F513" s="98">
        <v>0</v>
      </c>
      <c r="G513" s="91">
        <f t="shared" si="665"/>
        <v>0</v>
      </c>
      <c r="H513" s="74">
        <v>9356542.0199999996</v>
      </c>
      <c r="I513" s="74">
        <v>1481456</v>
      </c>
      <c r="J513" s="74">
        <f t="shared" si="666"/>
        <v>7875086.0199999996</v>
      </c>
      <c r="K513" s="13">
        <f t="shared" si="674"/>
        <v>26</v>
      </c>
      <c r="L513" s="32">
        <f>(1-(D513/2)*K513)*K513</f>
        <v>26</v>
      </c>
      <c r="M513" s="74">
        <f>J513/L513</f>
        <v>302887.92384615383</v>
      </c>
      <c r="N513" s="68">
        <f>M513/H513</f>
        <v>3.2371780429000185E-2</v>
      </c>
      <c r="O513" s="32">
        <v>25.2</v>
      </c>
      <c r="P513" s="13">
        <v>315845</v>
      </c>
      <c r="Q513" s="119">
        <f t="shared" si="667"/>
        <v>-12957.076153846167</v>
      </c>
      <c r="S513" s="13">
        <v>309612</v>
      </c>
      <c r="T513" s="13">
        <f t="shared" si="668"/>
        <v>-6724.0761538461666</v>
      </c>
      <c r="W513" s="124">
        <v>0.4200275</v>
      </c>
      <c r="Y513" s="79">
        <f t="shared" si="669"/>
        <v>127221.25743329038</v>
      </c>
      <c r="Z513" s="79">
        <f t="shared" si="670"/>
        <v>132663.58573749999</v>
      </c>
      <c r="AA513" s="79">
        <f t="shared" si="671"/>
        <v>-5442.3283042096209</v>
      </c>
      <c r="AB513" s="79">
        <f t="shared" si="672"/>
        <v>130045.55433</v>
      </c>
      <c r="AC513" s="79">
        <f t="shared" si="673"/>
        <v>-2824.2968967096208</v>
      </c>
    </row>
    <row r="514" spans="1:29">
      <c r="A514" s="14">
        <v>345</v>
      </c>
      <c r="B514" s="16" t="s">
        <v>13</v>
      </c>
      <c r="C514" s="138">
        <v>50405</v>
      </c>
      <c r="D514" s="102">
        <v>5.0000000000000001E-3</v>
      </c>
      <c r="E514" s="152">
        <f t="shared" si="664"/>
        <v>0</v>
      </c>
      <c r="F514" s="98">
        <v>0</v>
      </c>
      <c r="G514" s="91">
        <f t="shared" si="665"/>
        <v>0</v>
      </c>
      <c r="H514" s="74">
        <v>19708441.550000001</v>
      </c>
      <c r="I514" s="74">
        <v>3127550</v>
      </c>
      <c r="J514" s="74">
        <f t="shared" si="666"/>
        <v>16580891.550000001</v>
      </c>
      <c r="K514" s="13">
        <f t="shared" si="674"/>
        <v>26</v>
      </c>
      <c r="L514" s="32">
        <f>(1-(D514/2)*K514)*K514</f>
        <v>24.310000000000002</v>
      </c>
      <c r="M514" s="74">
        <f>J514/L514</f>
        <v>682060.5327025915</v>
      </c>
      <c r="N514" s="68">
        <f>M514/H514</f>
        <v>3.4607532562745506E-2</v>
      </c>
      <c r="O514" s="32">
        <v>25.5</v>
      </c>
      <c r="P514" s="13">
        <v>656928</v>
      </c>
      <c r="Q514" s="119">
        <f t="shared" si="667"/>
        <v>25132.532702591503</v>
      </c>
      <c r="S514" s="13">
        <v>644248</v>
      </c>
      <c r="T514" s="13">
        <f t="shared" si="668"/>
        <v>37812.532702591503</v>
      </c>
      <c r="W514" s="124">
        <v>0.4200275</v>
      </c>
      <c r="Y514" s="79">
        <f t="shared" si="669"/>
        <v>286484.18039973773</v>
      </c>
      <c r="Z514" s="79">
        <f t="shared" si="670"/>
        <v>275927.82552000001</v>
      </c>
      <c r="AA514" s="79">
        <f t="shared" si="671"/>
        <v>10556.354879737752</v>
      </c>
      <c r="AB514" s="79">
        <f t="shared" si="672"/>
        <v>270601.87682</v>
      </c>
      <c r="AC514" s="79">
        <f t="shared" si="673"/>
        <v>15882.303579737752</v>
      </c>
    </row>
    <row r="515" spans="1:29">
      <c r="A515" s="14">
        <v>346</v>
      </c>
      <c r="B515" s="15" t="s">
        <v>378</v>
      </c>
      <c r="C515" s="138">
        <v>50405</v>
      </c>
      <c r="D515" s="102">
        <f t="shared" ref="D515" si="675">($E$412)</f>
        <v>0</v>
      </c>
      <c r="E515" s="152">
        <f t="shared" si="664"/>
        <v>0</v>
      </c>
      <c r="F515" s="98">
        <v>0</v>
      </c>
      <c r="G515" s="91">
        <f t="shared" si="665"/>
        <v>0</v>
      </c>
      <c r="H515" s="74">
        <v>337118.68</v>
      </c>
      <c r="I515" s="74">
        <v>52243</v>
      </c>
      <c r="J515" s="74">
        <f t="shared" si="666"/>
        <v>284875.68</v>
      </c>
      <c r="K515" s="13">
        <f t="shared" si="674"/>
        <v>26</v>
      </c>
      <c r="L515" s="32">
        <f>(1-(D515/2)*K515)*K515</f>
        <v>26</v>
      </c>
      <c r="M515" s="74">
        <f>J515/L515</f>
        <v>10956.756923076922</v>
      </c>
      <c r="N515" s="88">
        <f>M515/H515</f>
        <v>3.2501186000956465E-2</v>
      </c>
      <c r="O515" s="32">
        <v>25.5</v>
      </c>
      <c r="P515" s="13">
        <v>11283</v>
      </c>
      <c r="Q515" s="119">
        <f t="shared" si="667"/>
        <v>-326.24307692307775</v>
      </c>
      <c r="S515" s="13">
        <v>11071</v>
      </c>
      <c r="T515" s="13">
        <f t="shared" si="668"/>
        <v>-114.24307692307775</v>
      </c>
      <c r="W515" s="124">
        <v>0.4200275</v>
      </c>
      <c r="Y515" s="79">
        <f t="shared" si="669"/>
        <v>4602.139218507692</v>
      </c>
      <c r="Z515" s="79">
        <f t="shared" si="670"/>
        <v>4739.1702825000002</v>
      </c>
      <c r="AA515" s="79">
        <f t="shared" si="671"/>
        <v>-137.03106399230805</v>
      </c>
      <c r="AB515" s="79">
        <f t="shared" si="672"/>
        <v>4650.1244525000002</v>
      </c>
      <c r="AC515" s="79">
        <f t="shared" si="673"/>
        <v>-47.985233992308039</v>
      </c>
    </row>
    <row r="516" spans="1:29">
      <c r="A516" s="14"/>
      <c r="B516" s="33" t="s">
        <v>260</v>
      </c>
      <c r="C516" s="23"/>
      <c r="D516" s="102"/>
      <c r="E516" s="152"/>
      <c r="F516" s="99"/>
      <c r="G516" s="72"/>
      <c r="H516" s="75">
        <f>+SUBTOTAL(9,H511:H515)</f>
        <v>365338939.31</v>
      </c>
      <c r="I516" s="75">
        <f>+SUBTOTAL(9,I511:I515)</f>
        <v>58250693</v>
      </c>
      <c r="J516" s="75">
        <f>+SUBTOTAL(9,J511:J515)</f>
        <v>307088246.31</v>
      </c>
      <c r="K516" s="13"/>
      <c r="L516" s="13"/>
      <c r="M516" s="75">
        <f>+SUBTOTAL(9,M511:M515)</f>
        <v>11862038.305661835</v>
      </c>
      <c r="N516" s="27">
        <f>+ROUND(M516/H516*100,2)</f>
        <v>3.25</v>
      </c>
      <c r="O516" s="31"/>
      <c r="P516" s="103">
        <f>+SUBTOTAL(9,P511:P515)</f>
        <v>12320606</v>
      </c>
      <c r="Q516" s="120">
        <f>+SUBTOTAL(9,Q511:Q515)</f>
        <v>-458567.69433816499</v>
      </c>
      <c r="S516" s="103">
        <f>+SUBTOTAL(9,S511:S515)</f>
        <v>12143825</v>
      </c>
      <c r="T516" s="103">
        <f>+SUBTOTAL(9,T511:T515)</f>
        <v>-281786.69433816499</v>
      </c>
      <c r="Y516" s="75">
        <f t="shared" ref="Y516:AC516" si="676">+SUBTOTAL(9,Y511:Y515)</f>
        <v>4982382.2944313753</v>
      </c>
      <c r="Z516" s="75">
        <f t="shared" si="676"/>
        <v>5174993.3366649998</v>
      </c>
      <c r="AA516" s="75">
        <f t="shared" si="676"/>
        <v>-192611.04223362359</v>
      </c>
      <c r="AB516" s="75">
        <f t="shared" si="676"/>
        <v>5100740.4551874986</v>
      </c>
      <c r="AC516" s="75">
        <f t="shared" si="676"/>
        <v>-118358.1607561236</v>
      </c>
    </row>
    <row r="517" spans="1:29">
      <c r="A517" s="14"/>
      <c r="B517" s="17"/>
      <c r="C517" s="43"/>
      <c r="E517" s="153"/>
      <c r="F517" s="99"/>
      <c r="G517" s="72"/>
      <c r="I517" s="73"/>
      <c r="J517" s="73"/>
      <c r="K517" s="19"/>
      <c r="L517" s="19"/>
      <c r="M517" s="73"/>
      <c r="N517" s="27"/>
      <c r="O517" s="31"/>
      <c r="P517" s="19"/>
      <c r="S517" s="19"/>
      <c r="T517" s="19"/>
    </row>
    <row r="518" spans="1:29">
      <c r="A518" s="14"/>
      <c r="B518" s="22" t="s">
        <v>201</v>
      </c>
      <c r="C518" s="43"/>
      <c r="E518" s="153"/>
      <c r="F518" s="99"/>
      <c r="G518" s="72"/>
      <c r="I518" s="73"/>
      <c r="J518" s="73"/>
      <c r="K518" s="19"/>
      <c r="L518" s="19"/>
      <c r="M518" s="73"/>
      <c r="N518" s="27"/>
      <c r="O518" s="31"/>
      <c r="P518" s="19"/>
      <c r="S518" s="19"/>
      <c r="T518" s="19"/>
    </row>
    <row r="519" spans="1:29">
      <c r="A519" s="14">
        <v>341</v>
      </c>
      <c r="B519" s="15" t="s">
        <v>162</v>
      </c>
      <c r="C519" s="138">
        <v>50770</v>
      </c>
      <c r="D519" s="102">
        <v>1.5E-3</v>
      </c>
      <c r="E519" s="152">
        <f t="shared" ref="E519:E523" si="677">($E$412)</f>
        <v>0</v>
      </c>
      <c r="F519" s="98">
        <v>0</v>
      </c>
      <c r="G519" s="91">
        <f t="shared" ref="G519:G523" si="678">H519*F519/100</f>
        <v>0</v>
      </c>
      <c r="H519" s="74">
        <v>5976710.8899999997</v>
      </c>
      <c r="I519" s="74">
        <v>740042</v>
      </c>
      <c r="J519" s="74">
        <f t="shared" ref="J519:J523" si="679">H519-G519-I519</f>
        <v>5236668.8899999997</v>
      </c>
      <c r="K519" s="13">
        <f>2038-2011</f>
        <v>27</v>
      </c>
      <c r="L519" s="32">
        <f>(1-(D519/2)*K519)*K519</f>
        <v>26.453250000000001</v>
      </c>
      <c r="M519" s="74">
        <f>J519/L519</f>
        <v>197959.37701416647</v>
      </c>
      <c r="N519" s="68">
        <f>M519/H519</f>
        <v>3.3121792346587221E-2</v>
      </c>
      <c r="O519" s="32">
        <v>25.3</v>
      </c>
      <c r="P519" s="13">
        <v>209227</v>
      </c>
      <c r="Q519" s="119">
        <f t="shared" ref="Q519:Q523" si="680">M519-P519</f>
        <v>-11267.622985833528</v>
      </c>
      <c r="S519" s="13">
        <v>204828</v>
      </c>
      <c r="T519" s="13">
        <f t="shared" ref="T519:T523" si="681">M519-S519</f>
        <v>-6868.6229858335282</v>
      </c>
      <c r="W519" s="124">
        <v>0.4200275</v>
      </c>
      <c r="Y519" s="79">
        <f t="shared" ref="Y519:Y523" si="682">M519*W519</f>
        <v>83148.382228817805</v>
      </c>
      <c r="Z519" s="79">
        <f t="shared" ref="Z519:Z523" si="683">P519*W519</f>
        <v>87881.093742500001</v>
      </c>
      <c r="AA519" s="79">
        <f t="shared" ref="AA519:AA523" si="684">Q519*W519</f>
        <v>-4732.7115136821922</v>
      </c>
      <c r="AB519" s="79">
        <f t="shared" ref="AB519:AB523" si="685">S519*W519</f>
        <v>86033.392770000006</v>
      </c>
      <c r="AC519" s="79">
        <f t="shared" ref="AC519:AC523" si="686">T519*W519</f>
        <v>-2885.0105411821924</v>
      </c>
    </row>
    <row r="520" spans="1:29">
      <c r="A520" s="14">
        <v>343</v>
      </c>
      <c r="B520" s="15" t="s">
        <v>83</v>
      </c>
      <c r="C520" s="138">
        <v>50770</v>
      </c>
      <c r="D520" s="102">
        <v>0</v>
      </c>
      <c r="E520" s="152">
        <v>6.0000000000000001E-3</v>
      </c>
      <c r="F520" s="98">
        <v>0</v>
      </c>
      <c r="G520" s="91">
        <f t="shared" si="678"/>
        <v>0</v>
      </c>
      <c r="H520" s="74">
        <v>214736151.83000001</v>
      </c>
      <c r="I520" s="74">
        <v>28544136</v>
      </c>
      <c r="J520" s="74">
        <f t="shared" si="679"/>
        <v>186192015.83000001</v>
      </c>
      <c r="K520" s="13">
        <f t="shared" ref="K520:K523" si="687">2038-2011</f>
        <v>27</v>
      </c>
      <c r="L520" s="32">
        <f>(1-(D520/2)*K520)*K520</f>
        <v>27</v>
      </c>
      <c r="M520" s="74">
        <f>J520/L520</f>
        <v>6896000.5862962967</v>
      </c>
      <c r="N520" s="68">
        <f>M520/H520</f>
        <v>3.2113831450959633E-2</v>
      </c>
      <c r="O520" s="32">
        <v>26.2</v>
      </c>
      <c r="P520" s="13">
        <v>7193865</v>
      </c>
      <c r="Q520" s="119">
        <f t="shared" si="680"/>
        <v>-297864.41370370332</v>
      </c>
      <c r="S520" s="13">
        <v>7080332</v>
      </c>
      <c r="T520" s="13">
        <f t="shared" si="681"/>
        <v>-184331.41370370332</v>
      </c>
      <c r="W520" s="124">
        <v>0.4200275</v>
      </c>
      <c r="Y520" s="79">
        <f t="shared" si="682"/>
        <v>2896509.8862605677</v>
      </c>
      <c r="Z520" s="79">
        <f t="shared" si="683"/>
        <v>3021621.1312874998</v>
      </c>
      <c r="AA520" s="79">
        <f t="shared" si="684"/>
        <v>-125111.24502693224</v>
      </c>
      <c r="AB520" s="79">
        <f t="shared" si="685"/>
        <v>2973934.1491299998</v>
      </c>
      <c r="AC520" s="79">
        <f t="shared" si="686"/>
        <v>-77424.262869432248</v>
      </c>
    </row>
    <row r="521" spans="1:29">
      <c r="A521" s="14">
        <v>344</v>
      </c>
      <c r="B521" s="15" t="s">
        <v>84</v>
      </c>
      <c r="C521" s="138">
        <v>50770</v>
      </c>
      <c r="D521" s="102">
        <v>0</v>
      </c>
      <c r="E521" s="152">
        <v>1.5E-3</v>
      </c>
      <c r="F521" s="98">
        <v>0</v>
      </c>
      <c r="G521" s="91">
        <f t="shared" si="678"/>
        <v>0</v>
      </c>
      <c r="H521" s="74">
        <v>6597543.9699999997</v>
      </c>
      <c r="I521" s="74">
        <v>879420</v>
      </c>
      <c r="J521" s="74">
        <f t="shared" si="679"/>
        <v>5718123.9699999997</v>
      </c>
      <c r="K521" s="13">
        <f t="shared" si="687"/>
        <v>27</v>
      </c>
      <c r="L521" s="32">
        <f>(1-(D521/2)*K521)*K521</f>
        <v>27</v>
      </c>
      <c r="M521" s="74">
        <f>J521/L521</f>
        <v>211782.36925925926</v>
      </c>
      <c r="N521" s="68">
        <f>M521/H521</f>
        <v>3.2100183071498235E-2</v>
      </c>
      <c r="O521" s="32">
        <v>26.2</v>
      </c>
      <c r="P521" s="13">
        <v>220936</v>
      </c>
      <c r="Q521" s="119">
        <f t="shared" si="680"/>
        <v>-9153.6307407407439</v>
      </c>
      <c r="S521" s="13">
        <v>216536</v>
      </c>
      <c r="T521" s="13">
        <f t="shared" si="681"/>
        <v>-4753.6307407407439</v>
      </c>
      <c r="W521" s="124">
        <v>0.4200275</v>
      </c>
      <c r="Y521" s="79">
        <f t="shared" si="682"/>
        <v>88954.419104043511</v>
      </c>
      <c r="Z521" s="79">
        <f t="shared" si="683"/>
        <v>92799.195739999996</v>
      </c>
      <c r="AA521" s="79">
        <f t="shared" si="684"/>
        <v>-3844.776635956483</v>
      </c>
      <c r="AB521" s="79">
        <f t="shared" si="685"/>
        <v>90951.074739999996</v>
      </c>
      <c r="AC521" s="79">
        <f t="shared" si="686"/>
        <v>-1996.6556359564829</v>
      </c>
    </row>
    <row r="522" spans="1:29">
      <c r="A522" s="14">
        <v>345</v>
      </c>
      <c r="B522" s="16" t="s">
        <v>13</v>
      </c>
      <c r="C522" s="138">
        <v>50770</v>
      </c>
      <c r="D522" s="102">
        <v>5.0000000000000001E-3</v>
      </c>
      <c r="E522" s="152">
        <f t="shared" si="677"/>
        <v>0</v>
      </c>
      <c r="F522" s="98">
        <v>0</v>
      </c>
      <c r="G522" s="91">
        <f t="shared" si="678"/>
        <v>0</v>
      </c>
      <c r="H522" s="74">
        <v>13215081.41</v>
      </c>
      <c r="I522" s="74">
        <v>1734141</v>
      </c>
      <c r="J522" s="74">
        <f t="shared" si="679"/>
        <v>11480940.41</v>
      </c>
      <c r="K522" s="13">
        <f t="shared" si="687"/>
        <v>27</v>
      </c>
      <c r="L522" s="32">
        <f>(1-(D522/2)*K522)*K522</f>
        <v>25.177499999999998</v>
      </c>
      <c r="M522" s="74">
        <f>J522/L522</f>
        <v>456000.01628438092</v>
      </c>
      <c r="N522" s="68">
        <f>M522/H522</f>
        <v>3.4506031566277039E-2</v>
      </c>
      <c r="O522" s="32">
        <v>26.5</v>
      </c>
      <c r="P522" s="13">
        <v>437999</v>
      </c>
      <c r="Q522" s="119">
        <f t="shared" si="680"/>
        <v>18001.016284380923</v>
      </c>
      <c r="S522" s="13">
        <v>429576</v>
      </c>
      <c r="T522" s="13">
        <f t="shared" si="681"/>
        <v>26424.016284380923</v>
      </c>
      <c r="W522" s="124">
        <v>0.4200275</v>
      </c>
      <c r="Y522" s="79">
        <f t="shared" si="682"/>
        <v>191532.5468398878</v>
      </c>
      <c r="Z522" s="79">
        <f t="shared" si="683"/>
        <v>183971.62497249999</v>
      </c>
      <c r="AA522" s="79">
        <f t="shared" si="684"/>
        <v>7560.9218673878086</v>
      </c>
      <c r="AB522" s="79">
        <f t="shared" si="685"/>
        <v>180433.73334000001</v>
      </c>
      <c r="AC522" s="79">
        <f t="shared" si="686"/>
        <v>11098.813499887809</v>
      </c>
    </row>
    <row r="523" spans="1:29">
      <c r="A523" s="14">
        <v>346</v>
      </c>
      <c r="B523" s="15" t="s">
        <v>378</v>
      </c>
      <c r="C523" s="138">
        <v>50770</v>
      </c>
      <c r="D523" s="102">
        <f t="shared" ref="D523" si="688">($E$412)</f>
        <v>0</v>
      </c>
      <c r="E523" s="152">
        <f t="shared" si="677"/>
        <v>0</v>
      </c>
      <c r="F523" s="98">
        <v>0</v>
      </c>
      <c r="G523" s="91">
        <f t="shared" si="678"/>
        <v>0</v>
      </c>
      <c r="H523" s="74">
        <v>515769.57</v>
      </c>
      <c r="I523" s="74">
        <v>65645</v>
      </c>
      <c r="J523" s="74">
        <f t="shared" si="679"/>
        <v>450124.57</v>
      </c>
      <c r="K523" s="13">
        <f t="shared" si="687"/>
        <v>27</v>
      </c>
      <c r="L523" s="32">
        <f>(1-(D523/2)*K523)*K523</f>
        <v>27</v>
      </c>
      <c r="M523" s="74">
        <f>J523/L523</f>
        <v>16671.280370370372</v>
      </c>
      <c r="N523" s="88">
        <f>M523/H523</f>
        <v>3.2323117415341843E-2</v>
      </c>
      <c r="O523" s="32">
        <v>26.5</v>
      </c>
      <c r="P523" s="13">
        <v>16975</v>
      </c>
      <c r="Q523" s="119">
        <f t="shared" si="680"/>
        <v>-303.71962962962789</v>
      </c>
      <c r="S523" s="13">
        <v>16636</v>
      </c>
      <c r="T523" s="13">
        <f t="shared" si="681"/>
        <v>35.280370370372111</v>
      </c>
      <c r="W523" s="124">
        <v>0.4200275</v>
      </c>
      <c r="Y523" s="79">
        <f t="shared" si="682"/>
        <v>7002.3962157657415</v>
      </c>
      <c r="Z523" s="79">
        <f t="shared" si="683"/>
        <v>7129.9668124999998</v>
      </c>
      <c r="AA523" s="79">
        <f t="shared" si="684"/>
        <v>-127.57059673425853</v>
      </c>
      <c r="AB523" s="79">
        <f t="shared" si="685"/>
        <v>6987.5774899999997</v>
      </c>
      <c r="AC523" s="79">
        <f t="shared" si="686"/>
        <v>14.818725765741473</v>
      </c>
    </row>
    <row r="524" spans="1:29">
      <c r="A524" s="14"/>
      <c r="B524" s="33" t="s">
        <v>261</v>
      </c>
      <c r="C524" s="56"/>
      <c r="D524" s="102"/>
      <c r="E524" s="152"/>
      <c r="F524" s="99"/>
      <c r="G524" s="72"/>
      <c r="H524" s="75">
        <f>+SUBTOTAL(9,H519:H523)</f>
        <v>241041257.66999999</v>
      </c>
      <c r="I524" s="75">
        <f>+SUBTOTAL(9,I519:I523)</f>
        <v>31963384</v>
      </c>
      <c r="J524" s="75">
        <f>+SUBTOTAL(9,J519:J523)</f>
        <v>209077873.66999999</v>
      </c>
      <c r="K524" s="13"/>
      <c r="L524" s="13"/>
      <c r="M524" s="75">
        <f>+SUBTOTAL(9,M519:M523)</f>
        <v>7778413.6292244745</v>
      </c>
      <c r="N524" s="27">
        <f>+ROUND(M524/H524*100,2)</f>
        <v>3.23</v>
      </c>
      <c r="O524" s="31"/>
      <c r="P524" s="103">
        <f>+SUBTOTAL(9,P519:P523)</f>
        <v>8079002</v>
      </c>
      <c r="Q524" s="120">
        <f>+SUBTOTAL(9,Q519:Q523)</f>
        <v>-300588.37077552633</v>
      </c>
      <c r="S524" s="103">
        <f>+SUBTOTAL(9,S519:S523)</f>
        <v>7947908</v>
      </c>
      <c r="T524" s="103">
        <f>+SUBTOTAL(9,T519:T523)</f>
        <v>-169494.3707755263</v>
      </c>
      <c r="Y524" s="75">
        <f t="shared" ref="Y524:AC524" si="689">+SUBTOTAL(9,Y519:Y523)</f>
        <v>3267147.6306490824</v>
      </c>
      <c r="Z524" s="75">
        <f t="shared" si="689"/>
        <v>3393403.0125549994</v>
      </c>
      <c r="AA524" s="75">
        <f t="shared" si="689"/>
        <v>-126255.38190591737</v>
      </c>
      <c r="AB524" s="75">
        <f t="shared" si="689"/>
        <v>3338339.9274699995</v>
      </c>
      <c r="AC524" s="75">
        <f t="shared" si="689"/>
        <v>-71192.29682091737</v>
      </c>
    </row>
    <row r="525" spans="1:29">
      <c r="A525" s="14"/>
      <c r="B525" s="17"/>
      <c r="C525" s="43"/>
      <c r="E525" s="153"/>
      <c r="F525" s="99"/>
      <c r="G525" s="72"/>
      <c r="I525" s="73"/>
      <c r="J525" s="73"/>
      <c r="K525" s="19"/>
      <c r="L525" s="19"/>
      <c r="M525" s="73"/>
      <c r="N525" s="27"/>
      <c r="O525" s="31"/>
      <c r="P525" s="19"/>
      <c r="S525" s="19"/>
      <c r="T525" s="19"/>
    </row>
    <row r="526" spans="1:29">
      <c r="A526" s="14"/>
      <c r="B526" s="22" t="s">
        <v>94</v>
      </c>
      <c r="C526" s="43"/>
      <c r="E526" s="153"/>
      <c r="F526" s="99"/>
      <c r="G526" s="72"/>
      <c r="I526" s="73"/>
      <c r="J526" s="73"/>
      <c r="K526" s="19"/>
      <c r="L526" s="19"/>
      <c r="M526" s="73"/>
      <c r="N526" s="27"/>
      <c r="O526" s="31"/>
      <c r="P526" s="19"/>
      <c r="S526" s="19"/>
      <c r="T526" s="19"/>
    </row>
    <row r="527" spans="1:29">
      <c r="A527" s="14">
        <v>344</v>
      </c>
      <c r="B527" s="15" t="s">
        <v>188</v>
      </c>
      <c r="C527" s="138">
        <v>46752</v>
      </c>
      <c r="D527" s="102">
        <f t="shared" ref="D527:E530" si="690">($E$412)</f>
        <v>0</v>
      </c>
      <c r="E527" s="152">
        <f t="shared" si="690"/>
        <v>0</v>
      </c>
      <c r="F527" s="98">
        <v>0</v>
      </c>
      <c r="G527" s="91">
        <f t="shared" ref="G527:G530" si="691">H527*F527/100</f>
        <v>0</v>
      </c>
      <c r="H527" s="74">
        <v>5545.93</v>
      </c>
      <c r="I527" s="74">
        <v>1616</v>
      </c>
      <c r="J527" s="74">
        <f t="shared" ref="J527:J530" si="692">H527-G527-I527</f>
        <v>3929.9300000000003</v>
      </c>
      <c r="K527" s="13">
        <f>2027-2011</f>
        <v>16</v>
      </c>
      <c r="L527" s="32">
        <f>(1-(D527/2)*K527)*K527</f>
        <v>16</v>
      </c>
      <c r="M527" s="74">
        <f>J527/L527</f>
        <v>245.62062500000002</v>
      </c>
      <c r="N527" s="68">
        <f>M527/H527</f>
        <v>4.4288446662687775E-2</v>
      </c>
      <c r="O527" s="32">
        <v>16</v>
      </c>
      <c r="P527" s="13">
        <v>246</v>
      </c>
      <c r="Q527" s="119">
        <f t="shared" ref="Q527:Q530" si="693">M527-P527</f>
        <v>-0.37937499999998181</v>
      </c>
      <c r="S527" s="13">
        <v>228</v>
      </c>
      <c r="T527" s="13">
        <f t="shared" ref="T527:T530" si="694">M527-S527</f>
        <v>17.620625000000018</v>
      </c>
      <c r="W527" s="124">
        <v>0.4200275</v>
      </c>
      <c r="Y527" s="79">
        <f t="shared" ref="Y527:Y530" si="695">M527*W527</f>
        <v>103.1674170671875</v>
      </c>
      <c r="Z527" s="79">
        <f t="shared" ref="Z527:Z530" si="696">P527*W527</f>
        <v>103.32676499999999</v>
      </c>
      <c r="AA527" s="79">
        <f t="shared" ref="AA527:AA530" si="697">Q527*W527</f>
        <v>-0.15934793281249235</v>
      </c>
      <c r="AB527" s="79">
        <f t="shared" ref="AB527:AB530" si="698">S527*W527</f>
        <v>95.766270000000006</v>
      </c>
      <c r="AC527" s="79">
        <f t="shared" ref="AC527:AC530" si="699">T527*W527</f>
        <v>7.4011470671875079</v>
      </c>
    </row>
    <row r="528" spans="1:29">
      <c r="A528" s="14">
        <v>344</v>
      </c>
      <c r="B528" s="15" t="s">
        <v>189</v>
      </c>
      <c r="C528" s="138">
        <v>42004</v>
      </c>
      <c r="D528" s="102">
        <f t="shared" si="690"/>
        <v>0</v>
      </c>
      <c r="E528" s="152">
        <f t="shared" si="690"/>
        <v>0</v>
      </c>
      <c r="F528" s="98">
        <v>0</v>
      </c>
      <c r="G528" s="91">
        <f t="shared" si="691"/>
        <v>0</v>
      </c>
      <c r="H528" s="74">
        <v>36389.01</v>
      </c>
      <c r="I528" s="74">
        <v>43953</v>
      </c>
      <c r="J528" s="74">
        <f t="shared" si="692"/>
        <v>-7563.989999999998</v>
      </c>
      <c r="K528" s="13">
        <f>2014-2011</f>
        <v>3</v>
      </c>
      <c r="L528" s="32">
        <f>(1-(D528/2)*K528)*K528</f>
        <v>3</v>
      </c>
      <c r="M528" s="74">
        <v>0</v>
      </c>
      <c r="N528" s="68">
        <f>M528/H528</f>
        <v>0</v>
      </c>
      <c r="O528" s="18">
        <v>0</v>
      </c>
      <c r="P528" s="13">
        <v>0</v>
      </c>
      <c r="Q528" s="119">
        <f t="shared" si="693"/>
        <v>0</v>
      </c>
      <c r="S528" s="13">
        <v>0</v>
      </c>
      <c r="T528" s="13">
        <f t="shared" si="694"/>
        <v>0</v>
      </c>
      <c r="W528" s="124">
        <v>0.4200275</v>
      </c>
      <c r="Y528" s="79">
        <f t="shared" si="695"/>
        <v>0</v>
      </c>
      <c r="Z528" s="79">
        <f t="shared" si="696"/>
        <v>0</v>
      </c>
      <c r="AA528" s="79">
        <f t="shared" si="697"/>
        <v>0</v>
      </c>
      <c r="AB528" s="79">
        <f t="shared" si="698"/>
        <v>0</v>
      </c>
      <c r="AC528" s="79">
        <f t="shared" si="699"/>
        <v>0</v>
      </c>
    </row>
    <row r="529" spans="1:29">
      <c r="A529" s="14">
        <v>344</v>
      </c>
      <c r="B529" s="15" t="s">
        <v>190</v>
      </c>
      <c r="C529" s="138">
        <v>42004</v>
      </c>
      <c r="D529" s="102">
        <f t="shared" si="690"/>
        <v>0</v>
      </c>
      <c r="E529" s="152">
        <f t="shared" si="690"/>
        <v>0</v>
      </c>
      <c r="F529" s="98">
        <v>0</v>
      </c>
      <c r="G529" s="91">
        <f t="shared" si="691"/>
        <v>0</v>
      </c>
      <c r="H529" s="74">
        <v>55086.78</v>
      </c>
      <c r="I529" s="74">
        <v>66516</v>
      </c>
      <c r="J529" s="74">
        <f t="shared" si="692"/>
        <v>-11429.220000000001</v>
      </c>
      <c r="K529" s="13">
        <f>2014-2011</f>
        <v>3</v>
      </c>
      <c r="L529" s="32">
        <f>(1-(D529/2)*K529)*K529</f>
        <v>3</v>
      </c>
      <c r="M529" s="74">
        <v>0</v>
      </c>
      <c r="N529" s="68">
        <f>M529/H529</f>
        <v>0</v>
      </c>
      <c r="O529" s="18">
        <v>0</v>
      </c>
      <c r="P529" s="13">
        <v>0</v>
      </c>
      <c r="Q529" s="119">
        <f t="shared" si="693"/>
        <v>0</v>
      </c>
      <c r="S529" s="13">
        <v>0</v>
      </c>
      <c r="T529" s="13">
        <f t="shared" si="694"/>
        <v>0</v>
      </c>
      <c r="W529" s="124">
        <v>0.4200275</v>
      </c>
      <c r="Y529" s="79">
        <f t="shared" si="695"/>
        <v>0</v>
      </c>
      <c r="Z529" s="79">
        <f t="shared" si="696"/>
        <v>0</v>
      </c>
      <c r="AA529" s="79">
        <f t="shared" si="697"/>
        <v>0</v>
      </c>
      <c r="AB529" s="79">
        <f t="shared" si="698"/>
        <v>0</v>
      </c>
      <c r="AC529" s="79">
        <f t="shared" si="699"/>
        <v>0</v>
      </c>
    </row>
    <row r="530" spans="1:29">
      <c r="A530" s="14">
        <v>344</v>
      </c>
      <c r="B530" s="15" t="s">
        <v>191</v>
      </c>
      <c r="C530" s="138">
        <v>42369</v>
      </c>
      <c r="D530" s="102">
        <f t="shared" si="690"/>
        <v>0</v>
      </c>
      <c r="E530" s="152">
        <f t="shared" si="690"/>
        <v>0</v>
      </c>
      <c r="F530" s="98">
        <v>0</v>
      </c>
      <c r="G530" s="91">
        <f t="shared" si="691"/>
        <v>0</v>
      </c>
      <c r="H530" s="74">
        <v>56321.97</v>
      </c>
      <c r="I530" s="74">
        <v>60789</v>
      </c>
      <c r="J530" s="74">
        <f t="shared" si="692"/>
        <v>-4467.0299999999988</v>
      </c>
      <c r="K530" s="13">
        <f>2015-2011</f>
        <v>4</v>
      </c>
      <c r="L530" s="32">
        <f>(1-(D530/2)*K530)*K530</f>
        <v>4</v>
      </c>
      <c r="M530" s="74">
        <f>J530/L530</f>
        <v>-1116.7574999999997</v>
      </c>
      <c r="N530" s="88">
        <f>M530/H530</f>
        <v>-1.9828097277137139E-2</v>
      </c>
      <c r="O530" s="18">
        <v>0</v>
      </c>
      <c r="P530" s="13">
        <v>0</v>
      </c>
      <c r="Q530" s="119">
        <f t="shared" si="693"/>
        <v>-1116.7574999999997</v>
      </c>
      <c r="S530" s="13">
        <v>0</v>
      </c>
      <c r="T530" s="13">
        <f t="shared" si="694"/>
        <v>-1116.7574999999997</v>
      </c>
      <c r="W530" s="124">
        <v>0.4200275</v>
      </c>
      <c r="Y530" s="79">
        <f t="shared" si="695"/>
        <v>-469.06886083124988</v>
      </c>
      <c r="Z530" s="79">
        <f t="shared" si="696"/>
        <v>0</v>
      </c>
      <c r="AA530" s="79">
        <f t="shared" si="697"/>
        <v>-469.06886083124988</v>
      </c>
      <c r="AB530" s="79">
        <f t="shared" si="698"/>
        <v>0</v>
      </c>
      <c r="AC530" s="79">
        <f t="shared" si="699"/>
        <v>-469.06886083124988</v>
      </c>
    </row>
    <row r="531" spans="1:29">
      <c r="A531" s="14"/>
      <c r="B531" s="33" t="s">
        <v>204</v>
      </c>
      <c r="C531" s="23"/>
      <c r="D531" s="102"/>
      <c r="F531" s="99"/>
      <c r="G531" s="72"/>
      <c r="H531" s="75">
        <f>+SUBTOTAL(9,H526:H530)</f>
        <v>153343.69</v>
      </c>
      <c r="I531" s="75">
        <f>+SUBTOTAL(9,I526:I530)</f>
        <v>172874</v>
      </c>
      <c r="J531" s="75">
        <f>+SUBTOTAL(9,J526:J530)</f>
        <v>-19530.309999999998</v>
      </c>
      <c r="K531" s="13"/>
      <c r="L531" s="13"/>
      <c r="M531" s="75">
        <f>+SUBTOTAL(9,M526:M530)</f>
        <v>-871.13687499999969</v>
      </c>
      <c r="N531" s="27">
        <f>+ROUND(M531/H531*100,2)</f>
        <v>-0.56999999999999995</v>
      </c>
      <c r="O531" s="31"/>
      <c r="P531" s="103">
        <f>+SUBTOTAL(9,P526:P530)</f>
        <v>246</v>
      </c>
      <c r="Q531" s="120">
        <f>+SUBTOTAL(9,Q526:Q530)</f>
        <v>-1117.1368749999997</v>
      </c>
      <c r="S531" s="103">
        <f>+SUBTOTAL(9,S526:S530)</f>
        <v>228</v>
      </c>
      <c r="T531" s="103">
        <f>+SUBTOTAL(9,T526:T530)</f>
        <v>-1099.1368749999997</v>
      </c>
      <c r="Y531" s="75">
        <f t="shared" ref="Y531:AC531" si="700">+SUBTOTAL(9,Y526:Y530)</f>
        <v>-365.90144376406238</v>
      </c>
      <c r="Z531" s="75">
        <f t="shared" si="700"/>
        <v>103.32676499999999</v>
      </c>
      <c r="AA531" s="75">
        <f t="shared" si="700"/>
        <v>-469.22820876406234</v>
      </c>
      <c r="AB531" s="75">
        <f t="shared" si="700"/>
        <v>95.766270000000006</v>
      </c>
      <c r="AC531" s="75">
        <f t="shared" si="700"/>
        <v>-461.6677137640624</v>
      </c>
    </row>
    <row r="532" spans="1:29">
      <c r="A532" s="14"/>
      <c r="B532" s="17"/>
      <c r="C532" s="23"/>
      <c r="D532" s="102"/>
      <c r="F532" s="99"/>
      <c r="G532" s="72"/>
      <c r="H532" s="74"/>
      <c r="I532" s="74"/>
      <c r="J532" s="74"/>
      <c r="K532" s="13"/>
      <c r="L532" s="13"/>
      <c r="M532" s="74"/>
      <c r="N532" s="27"/>
      <c r="O532" s="31"/>
      <c r="P532" s="13"/>
      <c r="S532" s="13"/>
      <c r="T532" s="13"/>
    </row>
    <row r="533" spans="1:29">
      <c r="A533" s="14"/>
      <c r="B533" s="22" t="s">
        <v>266</v>
      </c>
      <c r="C533" s="23"/>
      <c r="D533" s="102"/>
      <c r="F533" s="99"/>
      <c r="G533" s="72"/>
      <c r="H533" s="74"/>
      <c r="I533" s="74"/>
      <c r="J533" s="74"/>
      <c r="K533" s="13"/>
      <c r="L533" s="13"/>
      <c r="M533" s="74"/>
      <c r="N533" s="27"/>
      <c r="O533" s="31"/>
      <c r="P533" s="13"/>
      <c r="S533" s="13"/>
      <c r="T533" s="13"/>
    </row>
    <row r="534" spans="1:29">
      <c r="A534" s="14">
        <v>344</v>
      </c>
      <c r="B534" s="15" t="s">
        <v>202</v>
      </c>
      <c r="C534" s="138" t="s">
        <v>175</v>
      </c>
      <c r="D534" s="102"/>
      <c r="E534" s="139" t="s">
        <v>226</v>
      </c>
      <c r="F534" s="98">
        <v>-5</v>
      </c>
      <c r="G534" s="91">
        <f>H534*F534/100</f>
        <v>-41984.005999999994</v>
      </c>
      <c r="H534" s="74">
        <v>839680.12</v>
      </c>
      <c r="I534" s="74">
        <v>230290</v>
      </c>
      <c r="J534" s="74">
        <f t="shared" ref="J534:J535" si="701">H534-G534-I534</f>
        <v>651374.12599999993</v>
      </c>
      <c r="K534" s="13"/>
      <c r="L534" s="13"/>
      <c r="M534" s="74">
        <v>14730</v>
      </c>
      <c r="N534" s="28">
        <v>1.75</v>
      </c>
      <c r="O534" s="32">
        <v>44.2</v>
      </c>
      <c r="P534" s="13">
        <v>14730</v>
      </c>
      <c r="Q534" s="119">
        <f t="shared" ref="Q534:Q535" si="702">M534-P534</f>
        <v>0</v>
      </c>
      <c r="S534" s="13">
        <v>13363</v>
      </c>
      <c r="T534" s="13">
        <f t="shared" ref="T534:T535" si="703">M534-S534</f>
        <v>1367</v>
      </c>
      <c r="W534" s="124">
        <v>0.4200275</v>
      </c>
      <c r="Y534" s="79">
        <f t="shared" ref="Y534:Y535" si="704">M534*W534</f>
        <v>6187.005075</v>
      </c>
      <c r="Z534" s="79">
        <f t="shared" ref="Z534:Z535" si="705">P534*W534</f>
        <v>6187.005075</v>
      </c>
      <c r="AA534" s="79">
        <f t="shared" ref="AA534:AA535" si="706">Q534*W534</f>
        <v>0</v>
      </c>
      <c r="AB534" s="79">
        <f t="shared" ref="AB534:AB535" si="707">S534*W534</f>
        <v>5612.8274824999999</v>
      </c>
      <c r="AC534" s="79">
        <f t="shared" ref="AC534:AC535" si="708">T534*W534</f>
        <v>574.17759249999995</v>
      </c>
    </row>
    <row r="535" spans="1:29">
      <c r="A535" s="14">
        <v>344</v>
      </c>
      <c r="B535" s="15" t="s">
        <v>203</v>
      </c>
      <c r="C535" s="138" t="s">
        <v>175</v>
      </c>
      <c r="D535" s="102"/>
      <c r="E535" s="139" t="s">
        <v>226</v>
      </c>
      <c r="F535" s="98">
        <v>-5</v>
      </c>
      <c r="G535" s="91">
        <f>H535*F535/100</f>
        <v>-42461.300499999998</v>
      </c>
      <c r="H535" s="78">
        <v>849226.01</v>
      </c>
      <c r="I535" s="78">
        <v>108199</v>
      </c>
      <c r="J535" s="74">
        <f t="shared" si="701"/>
        <v>783488.31050000002</v>
      </c>
      <c r="K535" s="13"/>
      <c r="L535" s="13"/>
      <c r="M535" s="78">
        <v>16408</v>
      </c>
      <c r="N535" s="90">
        <v>1.93</v>
      </c>
      <c r="O535" s="32">
        <v>47.8</v>
      </c>
      <c r="P535" s="142">
        <v>16408</v>
      </c>
      <c r="Q535" s="119">
        <f t="shared" si="702"/>
        <v>0</v>
      </c>
      <c r="S535" s="142">
        <v>15200</v>
      </c>
      <c r="T535" s="13">
        <f t="shared" si="703"/>
        <v>1208</v>
      </c>
      <c r="W535" s="124">
        <v>0.4200275</v>
      </c>
      <c r="Y535" s="79">
        <f t="shared" si="704"/>
        <v>6891.8112199999996</v>
      </c>
      <c r="Z535" s="79">
        <f t="shared" si="705"/>
        <v>6891.8112199999996</v>
      </c>
      <c r="AA535" s="79">
        <f t="shared" si="706"/>
        <v>0</v>
      </c>
      <c r="AB535" s="79">
        <f t="shared" si="707"/>
        <v>6384.4179999999997</v>
      </c>
      <c r="AC535" s="79">
        <f t="shared" si="708"/>
        <v>507.39321999999999</v>
      </c>
    </row>
    <row r="536" spans="1:29">
      <c r="A536" s="14"/>
      <c r="B536" s="33" t="s">
        <v>264</v>
      </c>
      <c r="C536" s="138"/>
      <c r="D536" s="102"/>
      <c r="F536" s="97"/>
      <c r="G536" s="91"/>
      <c r="H536" s="76">
        <f>+SUBTOTAL(9,H534:H535)</f>
        <v>1688906.13</v>
      </c>
      <c r="I536" s="76">
        <f>+SUBTOTAL(9,I534:I535)</f>
        <v>338489</v>
      </c>
      <c r="J536" s="76">
        <f>+SUBTOTAL(9,J534:J535)</f>
        <v>1434862.4364999998</v>
      </c>
      <c r="K536" s="13"/>
      <c r="L536" s="13"/>
      <c r="M536" s="76">
        <f>+SUBTOTAL(9,M534:M535)</f>
        <v>31138</v>
      </c>
      <c r="N536" s="89">
        <f>+ROUND(M536/H536*100,2)</f>
        <v>1.84</v>
      </c>
      <c r="O536" s="32"/>
      <c r="P536" s="104">
        <f>+SUBTOTAL(9,P534:P535)</f>
        <v>31138</v>
      </c>
      <c r="Q536" s="108">
        <f>+SUBTOTAL(9,Q534:Q535)</f>
        <v>0</v>
      </c>
      <c r="S536" s="104">
        <f>+SUBTOTAL(9,S534:S535)</f>
        <v>28563</v>
      </c>
      <c r="T536" s="104">
        <f>+SUBTOTAL(9,T534:T535)</f>
        <v>2575</v>
      </c>
    </row>
    <row r="537" spans="1:29">
      <c r="A537" s="14"/>
      <c r="B537" s="17"/>
      <c r="C537" s="138"/>
      <c r="D537" s="102"/>
      <c r="F537" s="97"/>
      <c r="G537" s="91"/>
      <c r="H537" s="74"/>
      <c r="I537" s="74"/>
      <c r="J537" s="74"/>
      <c r="K537" s="13"/>
      <c r="L537" s="13"/>
      <c r="M537" s="74"/>
      <c r="N537" s="27"/>
      <c r="O537" s="32"/>
      <c r="P537" s="13"/>
      <c r="S537" s="13"/>
      <c r="T537" s="13"/>
    </row>
    <row r="538" spans="1:29">
      <c r="A538" s="6"/>
      <c r="B538" s="47" t="s">
        <v>138</v>
      </c>
      <c r="C538" s="23"/>
      <c r="D538" s="102"/>
      <c r="F538" s="96"/>
      <c r="G538" s="72"/>
      <c r="H538" s="77">
        <f>+SUBTOTAL(9,H412:H536)</f>
        <v>3285910905.0399995</v>
      </c>
      <c r="I538" s="77">
        <f>+SUBTOTAL(9,I412:I536)</f>
        <v>483323223</v>
      </c>
      <c r="J538" s="77">
        <f>+SUBTOTAL(9,J412:J536)</f>
        <v>2822120684.9504995</v>
      </c>
      <c r="K538" s="51"/>
      <c r="L538" s="51"/>
      <c r="M538" s="77">
        <f>+SUBTOTAL(9,M412:M536)</f>
        <v>97190811.751396626</v>
      </c>
      <c r="N538" s="27">
        <f>+ROUND(M538/H538*100,2)</f>
        <v>2.96</v>
      </c>
      <c r="O538" s="31"/>
      <c r="P538" s="51">
        <f>+SUBTOTAL(9,P412:P536)</f>
        <v>108260074</v>
      </c>
      <c r="Q538" s="110">
        <f>+SUBTOTAL(9,Q412:Q536)</f>
        <v>-11069262.248603364</v>
      </c>
      <c r="S538" s="51">
        <f>+SUBTOTAL(9,S412:S536)</f>
        <v>108929265</v>
      </c>
      <c r="T538" s="51">
        <f>+SUBTOTAL(9,T412:T536)</f>
        <v>-11738453.248603364</v>
      </c>
      <c r="Y538" s="77">
        <f t="shared" ref="Y538:AC538" si="709">+SUBTOTAL(9,Y412:Y536)</f>
        <v>40860957.535716318</v>
      </c>
      <c r="Z538" s="77">
        <f t="shared" ref="Z538" si="710">+SUBTOTAL(9,Z412:Z536)</f>
        <v>45512692.157191977</v>
      </c>
      <c r="AA538" s="77">
        <f t="shared" si="709"/>
        <v>-4651734.6214756928</v>
      </c>
      <c r="AB538" s="77">
        <f t="shared" si="709"/>
        <v>45795877.604607902</v>
      </c>
      <c r="AC538" s="77">
        <f t="shared" si="709"/>
        <v>-4934920.0688915933</v>
      </c>
    </row>
    <row r="539" spans="1:29">
      <c r="A539" s="14"/>
      <c r="C539" s="17"/>
      <c r="I539" s="73"/>
      <c r="J539" s="73"/>
      <c r="K539" s="19"/>
      <c r="L539" s="19"/>
      <c r="M539" s="73"/>
      <c r="N539" s="27"/>
      <c r="O539" s="31"/>
      <c r="P539" s="19"/>
      <c r="S539" s="19"/>
      <c r="T539" s="19"/>
    </row>
    <row r="540" spans="1:29">
      <c r="A540" s="14">
        <v>340.3</v>
      </c>
      <c r="B540" s="15" t="s">
        <v>95</v>
      </c>
      <c r="C540" s="138"/>
      <c r="D540" s="102"/>
      <c r="E540" s="139"/>
      <c r="F540" s="97"/>
      <c r="G540" s="91"/>
      <c r="H540" s="74">
        <v>14529040</v>
      </c>
      <c r="I540" s="74">
        <v>0</v>
      </c>
      <c r="J540" s="74"/>
      <c r="K540" s="13"/>
      <c r="L540" s="13"/>
      <c r="M540" s="74"/>
      <c r="N540" s="18"/>
      <c r="O540" s="18"/>
      <c r="P540" s="13"/>
      <c r="S540" s="17"/>
      <c r="T540" s="17"/>
    </row>
    <row r="541" spans="1:29">
      <c r="A541" s="14">
        <v>340.3</v>
      </c>
      <c r="B541" s="15" t="s">
        <v>139</v>
      </c>
      <c r="C541" s="138"/>
      <c r="D541" s="102"/>
      <c r="E541" s="139"/>
      <c r="F541" s="97"/>
      <c r="G541" s="91"/>
      <c r="H541" s="78">
        <v>2891146.49</v>
      </c>
      <c r="I541" s="78">
        <v>351</v>
      </c>
      <c r="J541" s="74"/>
      <c r="K541" s="13"/>
      <c r="L541" s="13"/>
      <c r="M541" s="74"/>
      <c r="N541" s="18"/>
      <c r="O541" s="18"/>
      <c r="P541" s="13"/>
      <c r="S541" s="17"/>
      <c r="T541" s="17"/>
    </row>
    <row r="542" spans="1:29">
      <c r="A542" s="14"/>
      <c r="B542" s="15"/>
      <c r="C542" s="138"/>
      <c r="D542" s="102"/>
      <c r="E542" s="139"/>
      <c r="F542" s="97"/>
      <c r="G542" s="91"/>
      <c r="H542" s="74"/>
      <c r="I542" s="74"/>
      <c r="J542" s="74"/>
      <c r="K542" s="13"/>
      <c r="L542" s="13"/>
      <c r="M542" s="74"/>
      <c r="N542" s="28"/>
      <c r="O542" s="32"/>
      <c r="P542" s="13"/>
      <c r="S542" s="13"/>
      <c r="T542" s="13"/>
    </row>
    <row r="543" spans="1:29">
      <c r="A543" s="6"/>
      <c r="B543" s="49" t="s">
        <v>96</v>
      </c>
      <c r="C543" s="23"/>
      <c r="D543" s="102"/>
      <c r="F543" s="96"/>
      <c r="G543" s="72"/>
      <c r="H543" s="82">
        <f>+SUBTOTAL(9,H412:H541)</f>
        <v>3303331091.5299993</v>
      </c>
      <c r="I543" s="82">
        <f>+SUBTOTAL(9,I412:I541)</f>
        <v>483323574</v>
      </c>
      <c r="J543" s="82">
        <f>+SUBTOTAL(9,J412:J541)</f>
        <v>2822120684.9504995</v>
      </c>
      <c r="K543" s="51"/>
      <c r="L543" s="51"/>
      <c r="M543" s="82">
        <f>+SUBTOTAL(9,M412:M541)</f>
        <v>97190811.751396626</v>
      </c>
      <c r="N543" s="90"/>
      <c r="O543" s="31"/>
      <c r="P543" s="105">
        <f>+SUBTOTAL(9,P412:P541)</f>
        <v>108260074</v>
      </c>
      <c r="Q543" s="121">
        <f>+SUBTOTAL(9,Q412:Q541)</f>
        <v>-11069262.248603364</v>
      </c>
      <c r="S543" s="105">
        <f>+SUBTOTAL(9,S412:S541)</f>
        <v>108929265</v>
      </c>
      <c r="T543" s="105">
        <f>+SUBTOTAL(9,T412:T541)</f>
        <v>-11738453.248603364</v>
      </c>
      <c r="Y543" s="82">
        <f t="shared" ref="Y543:AC543" si="711">+SUBTOTAL(9,Y412:Y541)</f>
        <v>40860957.535716318</v>
      </c>
      <c r="Z543" s="82">
        <f t="shared" ref="Z543" si="712">+SUBTOTAL(9,Z412:Z541)</f>
        <v>45512692.157191977</v>
      </c>
      <c r="AA543" s="82">
        <f t="shared" si="711"/>
        <v>-4651734.6214756928</v>
      </c>
      <c r="AB543" s="82">
        <f t="shared" si="711"/>
        <v>45795877.604607902</v>
      </c>
      <c r="AC543" s="82">
        <f t="shared" si="711"/>
        <v>-4934920.0688915933</v>
      </c>
    </row>
    <row r="544" spans="1:29">
      <c r="A544" s="14"/>
      <c r="B544" s="17"/>
      <c r="C544" s="23"/>
      <c r="D544" s="102"/>
      <c r="F544" s="96"/>
      <c r="G544" s="72"/>
      <c r="H544" s="83"/>
      <c r="I544" s="83"/>
      <c r="J544" s="83"/>
      <c r="K544" s="51"/>
      <c r="L544" s="51"/>
      <c r="M544" s="83"/>
      <c r="N544" s="27"/>
      <c r="O544" s="31"/>
      <c r="P544" s="106"/>
      <c r="Q544" s="109"/>
      <c r="S544" s="106"/>
      <c r="T544" s="106"/>
      <c r="Y544" s="83"/>
      <c r="Z544" s="83"/>
      <c r="AA544" s="83"/>
      <c r="AB544" s="83"/>
      <c r="AC544" s="83"/>
    </row>
    <row r="545" spans="1:29">
      <c r="A545" s="47" t="s">
        <v>265</v>
      </c>
      <c r="B545" s="26"/>
      <c r="C545" s="23"/>
      <c r="D545" s="102"/>
      <c r="F545" s="96"/>
      <c r="G545" s="72"/>
      <c r="H545" s="77">
        <f>+SUBTOTAL(9,H15:H543)</f>
        <v>10312126208.320002</v>
      </c>
      <c r="I545" s="77">
        <f>+SUBTOTAL(9,I15:I543)</f>
        <v>3169848977</v>
      </c>
      <c r="J545" s="77">
        <f>+SUBTOTAL(9,J15:J543)</f>
        <v>7373545425.0197029</v>
      </c>
      <c r="K545" s="51"/>
      <c r="L545" s="51"/>
      <c r="M545" s="77">
        <f>+SUBTOTAL(9,M15:M543)</f>
        <v>322068286.42737639</v>
      </c>
      <c r="N545" s="27">
        <f>+ROUND(M545/H545*100,2)</f>
        <v>3.12</v>
      </c>
      <c r="O545" s="31"/>
      <c r="P545" s="51">
        <f>+SUBTOTAL(9,P15:P543)</f>
        <v>365303338</v>
      </c>
      <c r="Q545" s="110">
        <f>+SUBTOTAL(9,Q15:Q543)</f>
        <v>-43235051.57262338</v>
      </c>
      <c r="S545" s="51">
        <f>+SUBTOTAL(9,S15:S543)</f>
        <v>457872866</v>
      </c>
      <c r="T545" s="51">
        <f>+SUBTOTAL(9,T15:T543)</f>
        <v>-135804579.5726234</v>
      </c>
      <c r="Y545" s="77">
        <f t="shared" ref="Y545:AC545" si="713">+SUBTOTAL(9,Y15:Y543)</f>
        <v>135315681.03018153</v>
      </c>
      <c r="Z545" s="77">
        <f t="shared" ref="Z545" si="714">+SUBTOTAL(9,Z15:Z543)</f>
        <v>153477931.72695199</v>
      </c>
      <c r="AA545" s="77">
        <f t="shared" si="713"/>
        <v>-18162250.696770519</v>
      </c>
      <c r="AB545" s="77">
        <f t="shared" si="713"/>
        <v>192361785.97363526</v>
      </c>
      <c r="AC545" s="77">
        <f t="shared" si="713"/>
        <v>-57046104.943453833</v>
      </c>
    </row>
    <row r="546" spans="1:29">
      <c r="A546" s="47"/>
      <c r="B546" s="26"/>
      <c r="C546" s="23"/>
      <c r="D546" s="102"/>
      <c r="F546" s="96"/>
      <c r="G546" s="72"/>
      <c r="H546" s="77"/>
      <c r="I546" s="77"/>
      <c r="J546" s="77"/>
      <c r="K546" s="51"/>
      <c r="L546" s="51"/>
      <c r="M546" s="82"/>
      <c r="N546" s="27"/>
      <c r="O546" s="31"/>
      <c r="P546" s="17"/>
    </row>
    <row r="547" spans="1:29" ht="13.5" thickBot="1">
      <c r="A547" s="47"/>
      <c r="B547" s="26"/>
      <c r="C547" s="23"/>
      <c r="D547" s="102"/>
      <c r="F547" s="96"/>
      <c r="G547" s="72"/>
      <c r="H547" s="77"/>
      <c r="I547" s="77"/>
      <c r="J547" s="77"/>
      <c r="K547" s="51"/>
      <c r="L547" s="51"/>
      <c r="M547" s="84"/>
      <c r="N547" s="27"/>
      <c r="O547" s="31"/>
      <c r="P547" s="17"/>
    </row>
    <row r="548" spans="1:29" ht="13.5" thickTop="1">
      <c r="A548" s="47"/>
      <c r="B548" s="26"/>
      <c r="C548" s="23"/>
      <c r="D548" s="102"/>
      <c r="F548" s="96"/>
      <c r="G548" s="72"/>
      <c r="H548" s="77"/>
      <c r="I548" s="77"/>
      <c r="J548" s="77"/>
      <c r="K548" s="51"/>
      <c r="L548" s="51"/>
      <c r="M548" s="77"/>
      <c r="N548" s="27"/>
      <c r="O548" s="31"/>
      <c r="P548" s="17"/>
    </row>
    <row r="549" spans="1:29">
      <c r="A549" s="47"/>
      <c r="B549" s="26"/>
      <c r="C549" s="23"/>
      <c r="D549" s="102"/>
      <c r="F549" s="96"/>
      <c r="G549" s="72"/>
      <c r="H549" s="77"/>
      <c r="I549" s="77"/>
      <c r="J549" s="77"/>
      <c r="K549" s="51"/>
      <c r="L549" s="51"/>
      <c r="M549" s="77"/>
      <c r="N549" s="27"/>
      <c r="O549" s="31"/>
      <c r="P549" s="17"/>
      <c r="Q549" s="119"/>
    </row>
    <row r="550" spans="1:29">
      <c r="A550" s="47"/>
      <c r="B550" s="26"/>
      <c r="C550" s="23"/>
      <c r="D550" s="102"/>
      <c r="F550" s="96"/>
      <c r="G550" s="72"/>
      <c r="H550" s="77"/>
      <c r="I550" s="77"/>
      <c r="J550" s="77"/>
      <c r="K550" s="51"/>
      <c r="L550" s="51"/>
      <c r="M550" s="77"/>
      <c r="N550" s="27"/>
      <c r="O550" s="31"/>
      <c r="P550" s="17"/>
      <c r="Q550" s="119"/>
    </row>
    <row r="551" spans="1:29">
      <c r="A551" s="47"/>
      <c r="B551" s="26"/>
      <c r="C551" s="23"/>
      <c r="D551" s="102"/>
      <c r="F551" s="96"/>
      <c r="G551" s="72"/>
      <c r="H551" s="77"/>
      <c r="I551" s="77"/>
      <c r="J551" s="77"/>
      <c r="K551" s="51"/>
      <c r="L551" s="51"/>
      <c r="M551" s="77"/>
      <c r="N551" s="27"/>
      <c r="O551" s="31"/>
      <c r="P551" s="17"/>
      <c r="Q551" s="119"/>
    </row>
    <row r="552" spans="1:29">
      <c r="A552" s="47"/>
      <c r="B552" s="26"/>
      <c r="C552" s="23"/>
      <c r="D552" s="102"/>
      <c r="F552" s="96"/>
      <c r="G552" s="72"/>
      <c r="H552" s="74"/>
      <c r="I552" s="74"/>
      <c r="J552" s="74"/>
      <c r="K552" s="13"/>
      <c r="L552" s="13"/>
      <c r="M552" s="74"/>
      <c r="N552" s="27"/>
      <c r="O552" s="31"/>
      <c r="P552" s="17"/>
      <c r="Q552" s="119"/>
    </row>
    <row r="553" spans="1:29">
      <c r="A553" s="14"/>
      <c r="B553" s="17"/>
      <c r="C553" s="23"/>
      <c r="D553" s="102"/>
      <c r="F553" s="154"/>
      <c r="G553" s="72"/>
      <c r="H553" s="74"/>
      <c r="I553" s="74"/>
      <c r="J553" s="74"/>
      <c r="K553" s="13"/>
      <c r="L553" s="13"/>
      <c r="M553" s="74"/>
      <c r="N553" s="27"/>
      <c r="O553" s="31"/>
      <c r="P553" s="17"/>
      <c r="Q553" s="119"/>
    </row>
    <row r="554" spans="1:29">
      <c r="A554" s="46" t="s">
        <v>97</v>
      </c>
      <c r="B554" s="59"/>
      <c r="C554" s="23"/>
      <c r="D554" s="102"/>
      <c r="F554" s="154"/>
      <c r="G554" s="72"/>
      <c r="H554" s="74"/>
      <c r="I554" s="74"/>
      <c r="J554" s="74"/>
      <c r="K554" s="13"/>
      <c r="L554" s="13"/>
      <c r="M554" s="74"/>
      <c r="N554" s="27"/>
      <c r="O554" s="31"/>
      <c r="P554" s="17"/>
      <c r="Q554" s="119"/>
    </row>
    <row r="555" spans="1:29">
      <c r="A555" s="14">
        <v>350.2</v>
      </c>
      <c r="B555" s="15" t="s">
        <v>10</v>
      </c>
      <c r="C555" s="138" t="s">
        <v>175</v>
      </c>
      <c r="D555" s="102"/>
      <c r="E555" s="139" t="s">
        <v>294</v>
      </c>
      <c r="F555" s="155">
        <v>0</v>
      </c>
      <c r="G555" s="91">
        <f t="shared" ref="G555:G564" si="715">H555*F555/100</f>
        <v>0</v>
      </c>
      <c r="H555" s="74">
        <v>139234363.72999999</v>
      </c>
      <c r="I555" s="74">
        <v>28994325</v>
      </c>
      <c r="J555" s="74">
        <f t="shared" ref="J555" si="716">H555-G555-I555</f>
        <v>110240038.72999999</v>
      </c>
      <c r="K555" s="13"/>
      <c r="L555" s="32">
        <v>62.5</v>
      </c>
      <c r="M555" s="74">
        <f t="shared" ref="M555:M564" si="717">J555/O555</f>
        <v>1763840.6196799998</v>
      </c>
      <c r="N555" s="68">
        <f>M555/H555</f>
        <v>1.2668141487689046E-2</v>
      </c>
      <c r="O555" s="32">
        <v>62.5</v>
      </c>
      <c r="P555" s="13">
        <v>1762864</v>
      </c>
      <c r="Q555" s="119">
        <f t="shared" ref="Q555:Q564" si="718">M555-P555</f>
        <v>976.6196799997706</v>
      </c>
      <c r="S555" s="13">
        <v>1834089</v>
      </c>
      <c r="T555" s="13">
        <f t="shared" ref="T555:T564" si="719">M555-S555</f>
        <v>-70248.380320000229</v>
      </c>
      <c r="W555" s="124">
        <v>0.4200275</v>
      </c>
      <c r="Y555" s="79">
        <f t="shared" ref="Y555:Y564" si="720">M555*W555</f>
        <v>740861.56588264112</v>
      </c>
      <c r="Z555" s="79">
        <f t="shared" ref="Z555:Z564" si="721">P555*W555</f>
        <v>740451.35875999997</v>
      </c>
      <c r="AA555" s="79">
        <f t="shared" ref="AA555:AA564" si="722">Q555*W555</f>
        <v>410.20712264110364</v>
      </c>
      <c r="AB555" s="79">
        <f t="shared" ref="AB555:AB564" si="723">S555*W555</f>
        <v>770367.81744749995</v>
      </c>
      <c r="AC555" s="79">
        <f t="shared" ref="AC555:AC564" si="724">T555*W555</f>
        <v>-29506.251564858896</v>
      </c>
    </row>
    <row r="556" spans="1:29">
      <c r="A556" s="14">
        <v>352</v>
      </c>
      <c r="B556" s="15" t="s">
        <v>162</v>
      </c>
      <c r="C556" s="138" t="s">
        <v>175</v>
      </c>
      <c r="D556" s="102"/>
      <c r="E556" s="139" t="s">
        <v>292</v>
      </c>
      <c r="F556" s="155">
        <v>-10</v>
      </c>
      <c r="G556" s="91">
        <f t="shared" si="715"/>
        <v>-14733255.511000002</v>
      </c>
      <c r="H556" s="74">
        <v>147332555.11000001</v>
      </c>
      <c r="I556" s="74">
        <v>22740260</v>
      </c>
      <c r="J556" s="74">
        <f t="shared" ref="J556:J564" si="725">H556-G556-I556</f>
        <v>139325550.62100002</v>
      </c>
      <c r="K556" s="13"/>
      <c r="L556" s="32">
        <v>66.3</v>
      </c>
      <c r="M556" s="74">
        <f t="shared" si="717"/>
        <v>2101441.1858371045</v>
      </c>
      <c r="N556" s="68">
        <f t="shared" ref="N556:N564" si="726">M556/H556</f>
        <v>1.4263250808812395E-2</v>
      </c>
      <c r="O556" s="32">
        <v>66.3</v>
      </c>
      <c r="P556" s="13">
        <v>2101439</v>
      </c>
      <c r="Q556" s="119">
        <f t="shared" si="718"/>
        <v>2.1858371044509113</v>
      </c>
      <c r="S556" s="13">
        <v>2326081</v>
      </c>
      <c r="T556" s="13">
        <f t="shared" si="719"/>
        <v>-224639.81416289555</v>
      </c>
      <c r="W556" s="124">
        <v>0.4200275</v>
      </c>
      <c r="Y556" s="79">
        <f t="shared" si="720"/>
        <v>882663.08768419444</v>
      </c>
      <c r="Z556" s="79">
        <f t="shared" si="721"/>
        <v>882662.16957250005</v>
      </c>
      <c r="AA556" s="79">
        <f t="shared" si="722"/>
        <v>0.91811169438975515</v>
      </c>
      <c r="AB556" s="79">
        <f t="shared" si="723"/>
        <v>977017.98722749995</v>
      </c>
      <c r="AC556" s="79">
        <f t="shared" si="724"/>
        <v>-94354.899543305612</v>
      </c>
    </row>
    <row r="557" spans="1:29">
      <c r="A557" s="14">
        <v>353</v>
      </c>
      <c r="B557" s="15" t="s">
        <v>98</v>
      </c>
      <c r="C557" s="138" t="s">
        <v>175</v>
      </c>
      <c r="D557" s="102"/>
      <c r="E557" s="139" t="s">
        <v>295</v>
      </c>
      <c r="F557" s="155">
        <v>-5</v>
      </c>
      <c r="G557" s="91">
        <f t="shared" si="715"/>
        <v>-79777630.234500006</v>
      </c>
      <c r="H557" s="74">
        <v>1595552604.6900001</v>
      </c>
      <c r="I557" s="74">
        <v>309282881</v>
      </c>
      <c r="J557" s="74">
        <f t="shared" si="725"/>
        <v>1366047353.9245</v>
      </c>
      <c r="K557" s="13"/>
      <c r="L557" s="32">
        <v>48.1</v>
      </c>
      <c r="M557" s="74">
        <f t="shared" si="717"/>
        <v>28400152.888243243</v>
      </c>
      <c r="N557" s="68">
        <f t="shared" si="726"/>
        <v>1.7799571637289333E-2</v>
      </c>
      <c r="O557" s="32">
        <v>48.1</v>
      </c>
      <c r="P557" s="13">
        <v>28382788</v>
      </c>
      <c r="Q557" s="119">
        <f t="shared" si="718"/>
        <v>17364.888243243098</v>
      </c>
      <c r="S557" s="13">
        <v>33616992</v>
      </c>
      <c r="T557" s="13">
        <f t="shared" si="719"/>
        <v>-5216839.1117567569</v>
      </c>
      <c r="W557" s="124">
        <v>0.4200275</v>
      </c>
      <c r="Y557" s="79">
        <f t="shared" si="720"/>
        <v>11928845.217266589</v>
      </c>
      <c r="Z557" s="79">
        <f t="shared" si="721"/>
        <v>11921551.48667</v>
      </c>
      <c r="AA557" s="79">
        <f t="shared" si="722"/>
        <v>7293.7305965887908</v>
      </c>
      <c r="AB557" s="79">
        <f t="shared" si="723"/>
        <v>14120061.107279999</v>
      </c>
      <c r="AC557" s="79">
        <f t="shared" si="724"/>
        <v>-2191215.8900134112</v>
      </c>
    </row>
    <row r="558" spans="1:29">
      <c r="A558" s="14">
        <v>353.7</v>
      </c>
      <c r="B558" s="15" t="s">
        <v>14</v>
      </c>
      <c r="C558" s="138" t="s">
        <v>175</v>
      </c>
      <c r="D558" s="102"/>
      <c r="E558" s="139" t="s">
        <v>296</v>
      </c>
      <c r="F558" s="155">
        <v>0</v>
      </c>
      <c r="G558" s="91">
        <f t="shared" si="715"/>
        <v>0</v>
      </c>
      <c r="H558" s="74">
        <v>17713612.149999999</v>
      </c>
      <c r="I558" s="74">
        <v>10104856</v>
      </c>
      <c r="J558" s="74">
        <f t="shared" si="725"/>
        <v>7608756.1499999985</v>
      </c>
      <c r="K558" s="13"/>
      <c r="L558" s="32">
        <v>12.1</v>
      </c>
      <c r="M558" s="74">
        <f t="shared" si="717"/>
        <v>628822.82231404947</v>
      </c>
      <c r="N558" s="68">
        <f t="shared" si="726"/>
        <v>3.5499412372199279E-2</v>
      </c>
      <c r="O558" s="32">
        <v>12.1</v>
      </c>
      <c r="P558" s="13">
        <v>629574</v>
      </c>
      <c r="Q558" s="119">
        <f t="shared" si="718"/>
        <v>-751.17768595053349</v>
      </c>
      <c r="S558" s="13">
        <v>582673</v>
      </c>
      <c r="T558" s="13">
        <f t="shared" si="719"/>
        <v>46149.822314049467</v>
      </c>
      <c r="W558" s="124">
        <v>0.4200275</v>
      </c>
      <c r="Y558" s="79">
        <f t="shared" si="720"/>
        <v>264122.8779995144</v>
      </c>
      <c r="Z558" s="79">
        <f t="shared" si="721"/>
        <v>264438.393285</v>
      </c>
      <c r="AA558" s="79">
        <f t="shared" si="722"/>
        <v>-315.5152854855877</v>
      </c>
      <c r="AB558" s="79">
        <f t="shared" si="723"/>
        <v>244738.68350750001</v>
      </c>
      <c r="AC558" s="79">
        <f t="shared" si="724"/>
        <v>19384.194492014412</v>
      </c>
    </row>
    <row r="559" spans="1:29">
      <c r="A559" s="14">
        <v>354</v>
      </c>
      <c r="B559" s="15" t="s">
        <v>165</v>
      </c>
      <c r="C559" s="139" t="s">
        <v>175</v>
      </c>
      <c r="D559" s="102"/>
      <c r="E559" s="139" t="s">
        <v>297</v>
      </c>
      <c r="F559" s="155">
        <v>-10</v>
      </c>
      <c r="G559" s="91">
        <f t="shared" si="715"/>
        <v>-98478293.879999995</v>
      </c>
      <c r="H559" s="74">
        <v>984782938.79999995</v>
      </c>
      <c r="I559" s="74">
        <v>216288971</v>
      </c>
      <c r="J559" s="74">
        <f t="shared" si="725"/>
        <v>866972261.67999983</v>
      </c>
      <c r="K559" s="13"/>
      <c r="L559" s="32">
        <v>63.54</v>
      </c>
      <c r="M559" s="74">
        <f t="shared" si="717"/>
        <v>13644511.515265971</v>
      </c>
      <c r="N559" s="68">
        <f t="shared" si="726"/>
        <v>1.3855349212175011E-2</v>
      </c>
      <c r="O559" s="32">
        <v>63.54</v>
      </c>
      <c r="P559" s="13">
        <v>15247412</v>
      </c>
      <c r="Q559" s="119">
        <f t="shared" si="718"/>
        <v>-1602900.4847340286</v>
      </c>
      <c r="S559" s="13">
        <v>19136791</v>
      </c>
      <c r="T559" s="13">
        <f t="shared" si="719"/>
        <v>-5492279.4847340286</v>
      </c>
      <c r="W559" s="124">
        <v>0.4200275</v>
      </c>
      <c r="Y559" s="79">
        <f t="shared" si="720"/>
        <v>5731070.0604783781</v>
      </c>
      <c r="Z559" s="79">
        <f t="shared" si="721"/>
        <v>6404332.3438299997</v>
      </c>
      <c r="AA559" s="79">
        <f t="shared" si="722"/>
        <v>-673262.28335162217</v>
      </c>
      <c r="AB559" s="79">
        <f t="shared" si="723"/>
        <v>8037978.4817524999</v>
      </c>
      <c r="AC559" s="79">
        <f t="shared" si="724"/>
        <v>-2306908.4212741223</v>
      </c>
    </row>
    <row r="560" spans="1:29">
      <c r="A560" s="14">
        <v>355</v>
      </c>
      <c r="B560" s="15" t="s">
        <v>166</v>
      </c>
      <c r="C560" s="139" t="s">
        <v>175</v>
      </c>
      <c r="D560" s="102"/>
      <c r="E560" s="139" t="s">
        <v>208</v>
      </c>
      <c r="F560" s="155">
        <v>-40</v>
      </c>
      <c r="G560" s="91">
        <f t="shared" si="715"/>
        <v>-258568927.24400002</v>
      </c>
      <c r="H560" s="74">
        <v>646422318.11000001</v>
      </c>
      <c r="I560" s="74">
        <v>246362229</v>
      </c>
      <c r="J560" s="74">
        <f t="shared" si="725"/>
        <v>658629016.35400009</v>
      </c>
      <c r="K560" s="13"/>
      <c r="L560" s="32">
        <v>50.73</v>
      </c>
      <c r="M560" s="74">
        <f t="shared" si="717"/>
        <v>12983028.116577964</v>
      </c>
      <c r="N560" s="68">
        <f t="shared" si="726"/>
        <v>2.0084436679936344E-2</v>
      </c>
      <c r="O560" s="32">
        <v>50.73</v>
      </c>
      <c r="P560" s="13">
        <v>14201275</v>
      </c>
      <c r="Q560" s="119">
        <f t="shared" si="718"/>
        <v>-1218246.8834220357</v>
      </c>
      <c r="S560" s="13">
        <v>16050811</v>
      </c>
      <c r="T560" s="13">
        <f t="shared" si="719"/>
        <v>-3067782.8834220357</v>
      </c>
      <c r="W560" s="124">
        <v>0.4200275</v>
      </c>
      <c r="Y560" s="79">
        <f t="shared" si="720"/>
        <v>5453228.8422359508</v>
      </c>
      <c r="Z560" s="79">
        <f t="shared" si="721"/>
        <v>5964926.0350625003</v>
      </c>
      <c r="AA560" s="79">
        <f t="shared" si="722"/>
        <v>-511697.19282654912</v>
      </c>
      <c r="AB560" s="79">
        <f t="shared" si="723"/>
        <v>6741782.0173025001</v>
      </c>
      <c r="AC560" s="79">
        <f t="shared" si="724"/>
        <v>-1288553.1750665491</v>
      </c>
    </row>
    <row r="561" spans="1:29">
      <c r="A561" s="14">
        <v>356</v>
      </c>
      <c r="B561" s="15" t="s">
        <v>379</v>
      </c>
      <c r="C561" s="139" t="s">
        <v>175</v>
      </c>
      <c r="D561" s="102"/>
      <c r="E561" s="139" t="s">
        <v>293</v>
      </c>
      <c r="F561" s="155">
        <v>-30</v>
      </c>
      <c r="G561" s="91">
        <f t="shared" si="715"/>
        <v>-269006450.85000002</v>
      </c>
      <c r="H561" s="74">
        <v>896688169.5</v>
      </c>
      <c r="I561" s="74">
        <v>385839730</v>
      </c>
      <c r="J561" s="74">
        <f t="shared" si="725"/>
        <v>779854890.3499999</v>
      </c>
      <c r="K561" s="13"/>
      <c r="L561" s="32">
        <v>49.42</v>
      </c>
      <c r="M561" s="74">
        <f t="shared" si="717"/>
        <v>15780147.518211247</v>
      </c>
      <c r="N561" s="68">
        <f t="shared" si="726"/>
        <v>1.7598255508389695E-2</v>
      </c>
      <c r="O561" s="32">
        <v>49.42</v>
      </c>
      <c r="P561" s="13">
        <v>17786314</v>
      </c>
      <c r="Q561" s="119">
        <f t="shared" si="718"/>
        <v>-2006166.4817887526</v>
      </c>
      <c r="S561" s="13">
        <v>21827222</v>
      </c>
      <c r="T561" s="13">
        <f t="shared" si="719"/>
        <v>-6047074.4817887526</v>
      </c>
      <c r="W561" s="124">
        <v>0.4200275</v>
      </c>
      <c r="Y561" s="79">
        <f t="shared" si="720"/>
        <v>6628095.9117054744</v>
      </c>
      <c r="Z561" s="79">
        <f t="shared" si="721"/>
        <v>7470741.0036349995</v>
      </c>
      <c r="AA561" s="79">
        <f t="shared" si="722"/>
        <v>-842645.09192952525</v>
      </c>
      <c r="AB561" s="79">
        <f t="shared" si="723"/>
        <v>9168033.4886050001</v>
      </c>
      <c r="AC561" s="79">
        <f t="shared" si="724"/>
        <v>-2539937.5768995252</v>
      </c>
    </row>
    <row r="562" spans="1:29">
      <c r="A562" s="14">
        <v>357</v>
      </c>
      <c r="B562" s="15" t="s">
        <v>168</v>
      </c>
      <c r="C562" s="138" t="s">
        <v>175</v>
      </c>
      <c r="D562" s="102"/>
      <c r="E562" s="139" t="s">
        <v>208</v>
      </c>
      <c r="F562" s="155">
        <v>0</v>
      </c>
      <c r="G562" s="91">
        <f t="shared" si="715"/>
        <v>0</v>
      </c>
      <c r="H562" s="74">
        <v>3259618.43</v>
      </c>
      <c r="I562" s="74">
        <v>664050</v>
      </c>
      <c r="J562" s="74">
        <f t="shared" si="725"/>
        <v>2595568.4300000002</v>
      </c>
      <c r="K562" s="13"/>
      <c r="L562" s="32">
        <v>49.5</v>
      </c>
      <c r="M562" s="74">
        <f t="shared" si="717"/>
        <v>52435.725858585865</v>
      </c>
      <c r="N562" s="68">
        <f t="shared" si="726"/>
        <v>1.6086461340380217E-2</v>
      </c>
      <c r="O562" s="32">
        <v>49.5</v>
      </c>
      <c r="P562" s="13">
        <v>52423</v>
      </c>
      <c r="Q562" s="119">
        <f t="shared" si="718"/>
        <v>12.725858585865353</v>
      </c>
      <c r="S562" s="13">
        <v>52026</v>
      </c>
      <c r="T562" s="13">
        <f t="shared" si="719"/>
        <v>409.72585858586535</v>
      </c>
      <c r="W562" s="124">
        <v>0.4200275</v>
      </c>
      <c r="Y562" s="79">
        <f t="shared" si="720"/>
        <v>22024.446843067173</v>
      </c>
      <c r="Z562" s="79">
        <f t="shared" si="721"/>
        <v>22019.101632499998</v>
      </c>
      <c r="AA562" s="79">
        <f t="shared" si="722"/>
        <v>5.3452105671745596</v>
      </c>
      <c r="AB562" s="79">
        <f t="shared" si="723"/>
        <v>21852.350715</v>
      </c>
      <c r="AC562" s="79">
        <f t="shared" si="724"/>
        <v>172.09612806717456</v>
      </c>
    </row>
    <row r="563" spans="1:29">
      <c r="A563" s="14">
        <v>358</v>
      </c>
      <c r="B563" s="15" t="s">
        <v>169</v>
      </c>
      <c r="C563" s="138"/>
      <c r="D563" s="102"/>
      <c r="E563" s="139" t="s">
        <v>208</v>
      </c>
      <c r="F563" s="155">
        <v>-5</v>
      </c>
      <c r="G563" s="91">
        <f t="shared" si="715"/>
        <v>-373754.74</v>
      </c>
      <c r="H563" s="74">
        <v>7475094.7999999998</v>
      </c>
      <c r="I563" s="74">
        <v>1675031</v>
      </c>
      <c r="J563" s="74">
        <f t="shared" si="725"/>
        <v>6173818.54</v>
      </c>
      <c r="K563" s="13"/>
      <c r="L563" s="32">
        <v>49.3</v>
      </c>
      <c r="M563" s="74">
        <f t="shared" si="717"/>
        <v>125229.58498985802</v>
      </c>
      <c r="N563" s="68">
        <f t="shared" si="726"/>
        <v>1.6752909272783809E-2</v>
      </c>
      <c r="O563" s="32">
        <v>49.3</v>
      </c>
      <c r="P563" s="13">
        <v>125242</v>
      </c>
      <c r="Q563" s="119">
        <f t="shared" si="718"/>
        <v>-12.415010141980019</v>
      </c>
      <c r="S563" s="13">
        <v>124508</v>
      </c>
      <c r="T563" s="13">
        <f t="shared" si="719"/>
        <v>721.58498985801998</v>
      </c>
      <c r="W563" s="124">
        <v>0.4200275</v>
      </c>
      <c r="Y563" s="79">
        <f t="shared" si="720"/>
        <v>52599.869509327589</v>
      </c>
      <c r="Z563" s="79">
        <f t="shared" si="721"/>
        <v>52605.084154999997</v>
      </c>
      <c r="AA563" s="79">
        <f t="shared" si="722"/>
        <v>-5.2146456724105121</v>
      </c>
      <c r="AB563" s="79">
        <f t="shared" si="723"/>
        <v>52296.783969999997</v>
      </c>
      <c r="AC563" s="79">
        <f t="shared" si="724"/>
        <v>303.08553932758946</v>
      </c>
    </row>
    <row r="564" spans="1:29">
      <c r="A564" s="14">
        <v>359</v>
      </c>
      <c r="B564" s="15" t="s">
        <v>170</v>
      </c>
      <c r="C564" s="138" t="s">
        <v>175</v>
      </c>
      <c r="D564" s="102"/>
      <c r="E564" s="139" t="s">
        <v>205</v>
      </c>
      <c r="F564" s="155">
        <v>0</v>
      </c>
      <c r="G564" s="91">
        <f t="shared" si="715"/>
        <v>0</v>
      </c>
      <c r="H564" s="74">
        <v>11586681.32</v>
      </c>
      <c r="I564" s="74">
        <v>3828976</v>
      </c>
      <c r="J564" s="74">
        <f t="shared" si="725"/>
        <v>7757705.3200000003</v>
      </c>
      <c r="K564" s="13"/>
      <c r="L564" s="32">
        <v>50.2</v>
      </c>
      <c r="M564" s="74">
        <f t="shared" si="717"/>
        <v>154535.96254980078</v>
      </c>
      <c r="N564" s="68">
        <f t="shared" si="726"/>
        <v>1.3337379209960077E-2</v>
      </c>
      <c r="O564" s="32">
        <v>50.2</v>
      </c>
      <c r="P564" s="13">
        <v>154506</v>
      </c>
      <c r="Q564" s="119">
        <f t="shared" si="718"/>
        <v>29.962549800780835</v>
      </c>
      <c r="S564" s="13">
        <v>154183</v>
      </c>
      <c r="T564" s="13">
        <f t="shared" si="719"/>
        <v>352.96254980078083</v>
      </c>
      <c r="W564" s="124">
        <v>0.4200275</v>
      </c>
      <c r="Y564" s="79">
        <f t="shared" si="720"/>
        <v>64909.354009886447</v>
      </c>
      <c r="Z564" s="79">
        <f t="shared" si="721"/>
        <v>64896.768915000001</v>
      </c>
      <c r="AA564" s="79">
        <f t="shared" si="722"/>
        <v>12.585094886447472</v>
      </c>
      <c r="AB564" s="79">
        <f t="shared" si="723"/>
        <v>64761.100032499999</v>
      </c>
      <c r="AC564" s="79">
        <f t="shared" si="724"/>
        <v>148.25397738644747</v>
      </c>
    </row>
    <row r="565" spans="1:29">
      <c r="A565" s="14"/>
      <c r="B565" s="48" t="s">
        <v>284</v>
      </c>
      <c r="C565" s="23"/>
      <c r="D565" s="102"/>
      <c r="F565" s="154"/>
      <c r="G565" s="72"/>
      <c r="H565" s="83">
        <f>+SUBTOTAL(9,H554:H564)</f>
        <v>4450047956.6400003</v>
      </c>
      <c r="I565" s="83">
        <f>+SUBTOTAL(9,I554:I564)</f>
        <v>1225781309</v>
      </c>
      <c r="J565" s="83">
        <f>+SUBTOTAL(9,J554:J564)</f>
        <v>3945204960.0995002</v>
      </c>
      <c r="K565" s="51"/>
      <c r="L565" s="31"/>
      <c r="M565" s="83">
        <f>+SUBTOTAL(9,M554:M564)</f>
        <v>75634145.939527825</v>
      </c>
      <c r="N565" s="52">
        <f>+ROUND(M565/H565*100,2)</f>
        <v>1.7</v>
      </c>
      <c r="O565" s="31"/>
      <c r="P565" s="106">
        <f>+SUBTOTAL(9,P554:P564)</f>
        <v>80443837</v>
      </c>
      <c r="Q565" s="109">
        <f>+SUBTOTAL(9,Q554:Q564)</f>
        <v>-4809691.0604721755</v>
      </c>
      <c r="S565" s="106">
        <f>+SUBTOTAL(9,S554:S564)</f>
        <v>95705376</v>
      </c>
      <c r="T565" s="106">
        <f>+SUBTOTAL(9,T554:T564)</f>
        <v>-20071230.060472175</v>
      </c>
      <c r="Y565" s="83">
        <f t="shared" ref="Y565:AC565" si="727">+SUBTOTAL(9,Y554:Y564)</f>
        <v>31768421.233615022</v>
      </c>
      <c r="Z565" s="83">
        <f t="shared" si="727"/>
        <v>33788623.745517492</v>
      </c>
      <c r="AA565" s="83">
        <f t="shared" si="727"/>
        <v>-2020202.5119024769</v>
      </c>
      <c r="AB565" s="83">
        <f t="shared" si="727"/>
        <v>40198889.817839995</v>
      </c>
      <c r="AC565" s="83">
        <f t="shared" si="727"/>
        <v>-8430468.5842249766</v>
      </c>
    </row>
    <row r="566" spans="1:29">
      <c r="A566" s="14"/>
      <c r="B566" s="48"/>
      <c r="C566" s="23"/>
      <c r="D566" s="102"/>
      <c r="F566" s="96"/>
      <c r="G566" s="72"/>
      <c r="H566" s="74"/>
      <c r="I566" s="74"/>
      <c r="J566" s="74"/>
      <c r="K566" s="13"/>
      <c r="L566" s="13"/>
      <c r="M566" s="74"/>
      <c r="N566" s="27"/>
      <c r="O566" s="31"/>
      <c r="P566" s="17"/>
      <c r="Q566" s="122"/>
      <c r="S566" s="13"/>
      <c r="T566" s="13"/>
    </row>
    <row r="567" spans="1:29">
      <c r="A567" s="14"/>
      <c r="B567" s="17"/>
      <c r="C567" s="23"/>
      <c r="D567" s="102"/>
      <c r="F567" s="96"/>
      <c r="G567" s="72"/>
      <c r="H567" s="74"/>
      <c r="I567" s="74"/>
      <c r="J567" s="74"/>
      <c r="K567" s="13"/>
      <c r="L567" s="13"/>
      <c r="M567" s="74"/>
      <c r="N567" s="27"/>
      <c r="O567" s="31"/>
      <c r="P567" s="17"/>
      <c r="Q567" s="122"/>
      <c r="S567" s="13"/>
      <c r="T567" s="13"/>
    </row>
    <row r="568" spans="1:29">
      <c r="A568" s="46" t="s">
        <v>99</v>
      </c>
      <c r="B568" s="59"/>
      <c r="C568" s="23"/>
      <c r="D568" s="102"/>
      <c r="F568" s="96"/>
      <c r="G568" s="72"/>
      <c r="H568" s="74"/>
      <c r="I568" s="74"/>
      <c r="J568" s="74"/>
      <c r="K568" s="13"/>
      <c r="L568" s="13"/>
      <c r="M568" s="74"/>
      <c r="N568" s="27"/>
      <c r="O568" s="31"/>
      <c r="P568" s="17"/>
      <c r="Q568" s="122"/>
      <c r="S568" s="13"/>
      <c r="T568" s="13"/>
    </row>
    <row r="569" spans="1:29">
      <c r="A569" s="46"/>
      <c r="B569" s="59"/>
      <c r="C569" s="23"/>
      <c r="D569" s="102"/>
      <c r="F569" s="96"/>
      <c r="G569" s="72"/>
      <c r="H569" s="74"/>
      <c r="I569" s="74"/>
      <c r="J569" s="74"/>
      <c r="K569" s="13"/>
      <c r="L569" s="13"/>
      <c r="M569" s="74"/>
      <c r="N569" s="27"/>
      <c r="O569" s="31"/>
      <c r="P569" s="17"/>
      <c r="Q569" s="122"/>
      <c r="S569" s="13"/>
      <c r="T569" s="13"/>
    </row>
    <row r="570" spans="1:29">
      <c r="A570" s="6"/>
      <c r="B570" s="61" t="s">
        <v>137</v>
      </c>
      <c r="C570" s="23"/>
      <c r="D570" s="102"/>
      <c r="F570" s="96"/>
      <c r="G570" s="72"/>
      <c r="H570" s="74"/>
      <c r="I570" s="74"/>
      <c r="J570" s="74"/>
      <c r="K570" s="13"/>
      <c r="L570" s="13"/>
      <c r="M570" s="74"/>
      <c r="N570" s="27"/>
      <c r="O570" s="31"/>
      <c r="P570" s="17"/>
      <c r="Q570" s="122"/>
      <c r="S570" s="13"/>
      <c r="T570" s="13"/>
    </row>
    <row r="571" spans="1:29">
      <c r="A571" s="14">
        <v>360.2</v>
      </c>
      <c r="B571" s="15" t="s">
        <v>10</v>
      </c>
      <c r="C571" s="138" t="s">
        <v>175</v>
      </c>
      <c r="D571" s="102"/>
      <c r="E571" s="139" t="s">
        <v>298</v>
      </c>
      <c r="F571" s="155">
        <v>0</v>
      </c>
      <c r="G571" s="91">
        <f t="shared" ref="G571:G584" si="728">H571*F571/100</f>
        <v>0</v>
      </c>
      <c r="H571" s="74">
        <v>4298476.58</v>
      </c>
      <c r="I571" s="74">
        <v>2568041</v>
      </c>
      <c r="J571" s="74">
        <f t="shared" ref="J571" si="729">H571-G571-I571</f>
        <v>1730435.58</v>
      </c>
      <c r="K571" s="13"/>
      <c r="L571" s="32"/>
      <c r="M571" s="74">
        <f t="shared" ref="M571:M584" si="730">J571/O571</f>
        <v>51348.236795252225</v>
      </c>
      <c r="N571" s="68">
        <f t="shared" ref="N571" si="731">M571/H571</f>
        <v>1.1945682578373435E-2</v>
      </c>
      <c r="O571" s="32">
        <v>33.700000000000003</v>
      </c>
      <c r="P571" s="13">
        <v>51289</v>
      </c>
      <c r="Q571" s="119">
        <f t="shared" ref="Q571:Q584" si="732">M571-P571</f>
        <v>59.23679525222542</v>
      </c>
      <c r="S571" s="13">
        <v>58117</v>
      </c>
      <c r="T571" s="13">
        <f t="shared" ref="T571:T584" si="733">M571-S571</f>
        <v>-6768.7632047477746</v>
      </c>
      <c r="W571" s="124">
        <v>0</v>
      </c>
      <c r="Y571" s="79">
        <f t="shared" ref="Y571:Y584" si="734">M571*W571</f>
        <v>0</v>
      </c>
      <c r="Z571" s="79">
        <f t="shared" ref="Z571:Z584" si="735">P571*W571</f>
        <v>0</v>
      </c>
      <c r="AA571" s="79">
        <f t="shared" ref="AA571:AA584" si="736">Q571*W571</f>
        <v>0</v>
      </c>
      <c r="AB571" s="79">
        <f t="shared" ref="AB571:AB584" si="737">S571*W571</f>
        <v>0</v>
      </c>
      <c r="AC571" s="79">
        <f t="shared" ref="AC571:AC584" si="738">T571*W571</f>
        <v>0</v>
      </c>
    </row>
    <row r="572" spans="1:29">
      <c r="A572" s="14">
        <v>361</v>
      </c>
      <c r="B572" s="15" t="s">
        <v>162</v>
      </c>
      <c r="C572" s="138" t="s">
        <v>175</v>
      </c>
      <c r="D572" s="102"/>
      <c r="E572" s="139" t="s">
        <v>247</v>
      </c>
      <c r="F572" s="155">
        <v>-10</v>
      </c>
      <c r="G572" s="91">
        <f t="shared" si="728"/>
        <v>-2088910.4379999998</v>
      </c>
      <c r="H572" s="74">
        <v>20889104.379999999</v>
      </c>
      <c r="I572" s="74">
        <v>4304577</v>
      </c>
      <c r="J572" s="74">
        <f t="shared" ref="J572:J584" si="739">H572-G572-I572</f>
        <v>18673437.818</v>
      </c>
      <c r="K572" s="13"/>
      <c r="L572" s="32"/>
      <c r="M572" s="74">
        <f t="shared" si="730"/>
        <v>337065.66458483756</v>
      </c>
      <c r="N572" s="68">
        <f t="shared" ref="N572:N584" si="740">M572/H572</f>
        <v>1.6135955781213709E-2</v>
      </c>
      <c r="O572" s="32">
        <v>55.4</v>
      </c>
      <c r="P572" s="13">
        <v>336833</v>
      </c>
      <c r="Q572" s="119">
        <f t="shared" si="732"/>
        <v>232.66458483756287</v>
      </c>
      <c r="S572" s="13">
        <v>413378</v>
      </c>
      <c r="T572" s="13">
        <f t="shared" si="733"/>
        <v>-76312.335415162437</v>
      </c>
      <c r="W572" s="124">
        <v>0</v>
      </c>
      <c r="Y572" s="79">
        <f t="shared" si="734"/>
        <v>0</v>
      </c>
      <c r="Z572" s="79">
        <f t="shared" si="735"/>
        <v>0</v>
      </c>
      <c r="AA572" s="79">
        <f t="shared" si="736"/>
        <v>0</v>
      </c>
      <c r="AB572" s="79">
        <f t="shared" si="737"/>
        <v>0</v>
      </c>
      <c r="AC572" s="79">
        <f t="shared" si="738"/>
        <v>0</v>
      </c>
    </row>
    <row r="573" spans="1:29">
      <c r="A573" s="14">
        <v>362</v>
      </c>
      <c r="B573" s="15" t="s">
        <v>98</v>
      </c>
      <c r="C573" s="138" t="s">
        <v>175</v>
      </c>
      <c r="D573" s="102"/>
      <c r="E573" s="139" t="s">
        <v>299</v>
      </c>
      <c r="F573" s="155">
        <v>-15</v>
      </c>
      <c r="G573" s="91">
        <f t="shared" si="728"/>
        <v>-31068955.213500001</v>
      </c>
      <c r="H573" s="74">
        <v>207126368.09</v>
      </c>
      <c r="I573" s="74">
        <v>57935983</v>
      </c>
      <c r="J573" s="74">
        <f t="shared" si="739"/>
        <v>180259340.3035</v>
      </c>
      <c r="K573" s="13"/>
      <c r="L573" s="32"/>
      <c r="M573" s="74">
        <f t="shared" si="730"/>
        <v>4271548.3484241702</v>
      </c>
      <c r="N573" s="68">
        <f t="shared" si="740"/>
        <v>2.0622909520472587E-2</v>
      </c>
      <c r="O573" s="32">
        <v>42.2</v>
      </c>
      <c r="P573" s="13">
        <v>4267946</v>
      </c>
      <c r="Q573" s="119">
        <f t="shared" si="732"/>
        <v>3602.3484241701663</v>
      </c>
      <c r="S573" s="13">
        <v>4565601</v>
      </c>
      <c r="T573" s="13">
        <f t="shared" si="733"/>
        <v>-294052.65157582983</v>
      </c>
      <c r="W573" s="124">
        <v>0</v>
      </c>
      <c r="Y573" s="79">
        <f t="shared" si="734"/>
        <v>0</v>
      </c>
      <c r="Z573" s="79">
        <f t="shared" si="735"/>
        <v>0</v>
      </c>
      <c r="AA573" s="79">
        <f t="shared" si="736"/>
        <v>0</v>
      </c>
      <c r="AB573" s="79">
        <f t="shared" si="737"/>
        <v>0</v>
      </c>
      <c r="AC573" s="79">
        <f t="shared" si="738"/>
        <v>0</v>
      </c>
    </row>
    <row r="574" spans="1:29">
      <c r="A574" s="14">
        <v>362.7</v>
      </c>
      <c r="B574" s="15" t="s">
        <v>14</v>
      </c>
      <c r="C574" s="138" t="s">
        <v>175</v>
      </c>
      <c r="D574" s="102"/>
      <c r="E574" s="139" t="s">
        <v>300</v>
      </c>
      <c r="F574" s="155">
        <v>0</v>
      </c>
      <c r="G574" s="91">
        <f t="shared" si="728"/>
        <v>0</v>
      </c>
      <c r="H574" s="74">
        <v>3105264.88</v>
      </c>
      <c r="I574" s="74">
        <v>1999052</v>
      </c>
      <c r="J574" s="74">
        <f t="shared" si="739"/>
        <v>1106212.8799999999</v>
      </c>
      <c r="K574" s="13"/>
      <c r="L574" s="32"/>
      <c r="M574" s="74">
        <f t="shared" si="730"/>
        <v>85093.298461538448</v>
      </c>
      <c r="N574" s="68">
        <f t="shared" si="740"/>
        <v>2.740291142620286E-2</v>
      </c>
      <c r="O574" s="32">
        <v>13</v>
      </c>
      <c r="P574" s="13">
        <v>85170</v>
      </c>
      <c r="Q574" s="119">
        <f t="shared" si="732"/>
        <v>-76.701538461551536</v>
      </c>
      <c r="S574" s="13">
        <v>88447</v>
      </c>
      <c r="T574" s="13">
        <f t="shared" si="733"/>
        <v>-3353.7015384615515</v>
      </c>
      <c r="W574" s="124">
        <v>0</v>
      </c>
      <c r="Y574" s="79">
        <f t="shared" si="734"/>
        <v>0</v>
      </c>
      <c r="Z574" s="79">
        <f t="shared" si="735"/>
        <v>0</v>
      </c>
      <c r="AA574" s="79">
        <f t="shared" si="736"/>
        <v>0</v>
      </c>
      <c r="AB574" s="79">
        <f t="shared" si="737"/>
        <v>0</v>
      </c>
      <c r="AC574" s="79">
        <f t="shared" si="738"/>
        <v>0</v>
      </c>
    </row>
    <row r="575" spans="1:29">
      <c r="A575" s="14">
        <v>364</v>
      </c>
      <c r="B575" s="15" t="s">
        <v>171</v>
      </c>
      <c r="C575" s="138" t="s">
        <v>175</v>
      </c>
      <c r="D575" s="102"/>
      <c r="E575" s="139" t="s">
        <v>212</v>
      </c>
      <c r="F575" s="155">
        <v>-100</v>
      </c>
      <c r="G575" s="91">
        <f t="shared" si="728"/>
        <v>-329864981.76999998</v>
      </c>
      <c r="H575" s="74">
        <v>329864981.76999998</v>
      </c>
      <c r="I575" s="74">
        <v>198099630</v>
      </c>
      <c r="J575" s="74">
        <f t="shared" si="739"/>
        <v>461630333.53999996</v>
      </c>
      <c r="K575" s="13"/>
      <c r="L575" s="32"/>
      <c r="M575" s="74">
        <f t="shared" si="730"/>
        <v>10939107.429857818</v>
      </c>
      <c r="N575" s="68">
        <f t="shared" si="740"/>
        <v>3.3162378653109552E-2</v>
      </c>
      <c r="O575" s="32">
        <v>42.2</v>
      </c>
      <c r="P575" s="13">
        <v>10943997</v>
      </c>
      <c r="Q575" s="119">
        <f t="shared" si="732"/>
        <v>-4889.5701421815902</v>
      </c>
      <c r="S575" s="13">
        <v>11630696</v>
      </c>
      <c r="T575" s="13">
        <f t="shared" si="733"/>
        <v>-691588.57014218159</v>
      </c>
      <c r="W575" s="124">
        <v>0</v>
      </c>
      <c r="Y575" s="79">
        <f t="shared" si="734"/>
        <v>0</v>
      </c>
      <c r="Z575" s="79">
        <f t="shared" si="735"/>
        <v>0</v>
      </c>
      <c r="AA575" s="79">
        <f t="shared" si="736"/>
        <v>0</v>
      </c>
      <c r="AB575" s="79">
        <f t="shared" si="737"/>
        <v>0</v>
      </c>
      <c r="AC575" s="79">
        <f t="shared" si="738"/>
        <v>0</v>
      </c>
    </row>
    <row r="576" spans="1:29">
      <c r="A576" s="14">
        <v>365</v>
      </c>
      <c r="B576" s="15" t="s">
        <v>167</v>
      </c>
      <c r="C576" s="138"/>
      <c r="D576" s="102"/>
      <c r="E576" s="139" t="s">
        <v>301</v>
      </c>
      <c r="F576" s="155">
        <v>-70</v>
      </c>
      <c r="G576" s="91">
        <f t="shared" si="728"/>
        <v>-164354363.41800001</v>
      </c>
      <c r="H576" s="74">
        <v>234791947.74000001</v>
      </c>
      <c r="I576" s="74">
        <v>104322536</v>
      </c>
      <c r="J576" s="74">
        <f t="shared" si="739"/>
        <v>294823775.15799999</v>
      </c>
      <c r="K576" s="13"/>
      <c r="L576" s="32"/>
      <c r="M576" s="74">
        <f t="shared" si="730"/>
        <v>6206816.3191157896</v>
      </c>
      <c r="N576" s="68">
        <f t="shared" si="740"/>
        <v>2.6435388346405263E-2</v>
      </c>
      <c r="O576" s="32">
        <v>47.5</v>
      </c>
      <c r="P576" s="13">
        <v>6207635</v>
      </c>
      <c r="Q576" s="119">
        <f t="shared" si="732"/>
        <v>-818.68088421039283</v>
      </c>
      <c r="S576" s="13">
        <v>6546810</v>
      </c>
      <c r="T576" s="13">
        <f t="shared" si="733"/>
        <v>-339993.68088421039</v>
      </c>
      <c r="W576" s="124">
        <v>0</v>
      </c>
      <c r="Y576" s="79">
        <f t="shared" si="734"/>
        <v>0</v>
      </c>
      <c r="Z576" s="79">
        <f t="shared" si="735"/>
        <v>0</v>
      </c>
      <c r="AA576" s="79">
        <f t="shared" si="736"/>
        <v>0</v>
      </c>
      <c r="AB576" s="79">
        <f t="shared" si="737"/>
        <v>0</v>
      </c>
      <c r="AC576" s="79">
        <f t="shared" si="738"/>
        <v>0</v>
      </c>
    </row>
    <row r="577" spans="1:29">
      <c r="A577" s="14">
        <v>366</v>
      </c>
      <c r="B577" s="15" t="s">
        <v>168</v>
      </c>
      <c r="C577" s="138" t="s">
        <v>175</v>
      </c>
      <c r="D577" s="102"/>
      <c r="E577" s="139" t="s">
        <v>302</v>
      </c>
      <c r="F577" s="155">
        <v>-50</v>
      </c>
      <c r="G577" s="91">
        <f t="shared" si="728"/>
        <v>-42288306.515000001</v>
      </c>
      <c r="H577" s="74">
        <v>84576613.030000001</v>
      </c>
      <c r="I577" s="74">
        <v>33185279</v>
      </c>
      <c r="J577" s="74">
        <f t="shared" si="739"/>
        <v>93679640.545000002</v>
      </c>
      <c r="K577" s="13"/>
      <c r="L577" s="32"/>
      <c r="M577" s="74">
        <f t="shared" si="730"/>
        <v>1690968.2408844766</v>
      </c>
      <c r="N577" s="68">
        <f t="shared" si="740"/>
        <v>1.9993331256770434E-2</v>
      </c>
      <c r="O577" s="32">
        <v>55.4</v>
      </c>
      <c r="P577" s="13">
        <v>1691519</v>
      </c>
      <c r="Q577" s="119">
        <f t="shared" si="732"/>
        <v>-550.75911552342586</v>
      </c>
      <c r="S577" s="13">
        <v>1756602</v>
      </c>
      <c r="T577" s="13">
        <f t="shared" si="733"/>
        <v>-65633.759115523426</v>
      </c>
      <c r="W577" s="124">
        <v>0</v>
      </c>
      <c r="Y577" s="79">
        <f t="shared" si="734"/>
        <v>0</v>
      </c>
      <c r="Z577" s="79">
        <f t="shared" si="735"/>
        <v>0</v>
      </c>
      <c r="AA577" s="79">
        <f t="shared" si="736"/>
        <v>0</v>
      </c>
      <c r="AB577" s="79">
        <f t="shared" si="737"/>
        <v>0</v>
      </c>
      <c r="AC577" s="79">
        <f t="shared" si="738"/>
        <v>0</v>
      </c>
    </row>
    <row r="578" spans="1:29">
      <c r="A578" s="14">
        <v>367</v>
      </c>
      <c r="B578" s="15" t="s">
        <v>169</v>
      </c>
      <c r="C578" s="138"/>
      <c r="D578" s="102"/>
      <c r="E578" s="139" t="s">
        <v>248</v>
      </c>
      <c r="F578" s="155">
        <v>-35</v>
      </c>
      <c r="G578" s="91">
        <f t="shared" si="728"/>
        <v>-55235896.884000003</v>
      </c>
      <c r="H578" s="74">
        <v>157816848.24000001</v>
      </c>
      <c r="I578" s="74">
        <v>62660521</v>
      </c>
      <c r="J578" s="74">
        <f t="shared" si="739"/>
        <v>150392224.12400001</v>
      </c>
      <c r="K578" s="13"/>
      <c r="L578" s="32"/>
      <c r="M578" s="74">
        <f t="shared" si="730"/>
        <v>3364479.2868903806</v>
      </c>
      <c r="N578" s="68">
        <f t="shared" si="740"/>
        <v>2.1318885305413322E-2</v>
      </c>
      <c r="O578" s="32">
        <v>44.7</v>
      </c>
      <c r="P578" s="13">
        <v>3365598</v>
      </c>
      <c r="Q578" s="119">
        <f t="shared" si="732"/>
        <v>-1118.7131096194498</v>
      </c>
      <c r="S578" s="13">
        <v>3474555</v>
      </c>
      <c r="T578" s="13">
        <f t="shared" si="733"/>
        <v>-110075.71310961945</v>
      </c>
      <c r="W578" s="124">
        <v>0</v>
      </c>
      <c r="Y578" s="79">
        <f t="shared" si="734"/>
        <v>0</v>
      </c>
      <c r="Z578" s="79">
        <f t="shared" si="735"/>
        <v>0</v>
      </c>
      <c r="AA578" s="79">
        <f t="shared" si="736"/>
        <v>0</v>
      </c>
      <c r="AB578" s="79">
        <f t="shared" si="737"/>
        <v>0</v>
      </c>
      <c r="AC578" s="79">
        <f t="shared" si="738"/>
        <v>0</v>
      </c>
    </row>
    <row r="579" spans="1:29">
      <c r="A579" s="14">
        <v>368</v>
      </c>
      <c r="B579" s="15" t="s">
        <v>101</v>
      </c>
      <c r="C579" s="138" t="s">
        <v>175</v>
      </c>
      <c r="D579" s="102"/>
      <c r="E579" s="139" t="s">
        <v>303</v>
      </c>
      <c r="F579" s="155">
        <v>-20</v>
      </c>
      <c r="G579" s="91">
        <f t="shared" si="728"/>
        <v>-78916714.405999988</v>
      </c>
      <c r="H579" s="74">
        <v>394583572.02999997</v>
      </c>
      <c r="I579" s="74">
        <v>183279423</v>
      </c>
      <c r="J579" s="74">
        <f t="shared" si="739"/>
        <v>290220863.43599999</v>
      </c>
      <c r="K579" s="13"/>
      <c r="L579" s="32"/>
      <c r="M579" s="74">
        <f t="shared" si="730"/>
        <v>9771746.2436363641</v>
      </c>
      <c r="N579" s="68">
        <f t="shared" si="740"/>
        <v>2.4764706227793549E-2</v>
      </c>
      <c r="O579" s="32">
        <v>29.7</v>
      </c>
      <c r="P579" s="13">
        <v>9779371</v>
      </c>
      <c r="Q579" s="119">
        <f t="shared" si="732"/>
        <v>-7624.7563636358827</v>
      </c>
      <c r="S579" s="13">
        <v>9793387</v>
      </c>
      <c r="T579" s="13">
        <f t="shared" si="733"/>
        <v>-21640.756363635883</v>
      </c>
      <c r="W579" s="124">
        <v>0</v>
      </c>
      <c r="Y579" s="79">
        <f t="shared" si="734"/>
        <v>0</v>
      </c>
      <c r="Z579" s="79">
        <f t="shared" si="735"/>
        <v>0</v>
      </c>
      <c r="AA579" s="79">
        <f t="shared" si="736"/>
        <v>0</v>
      </c>
      <c r="AB579" s="79">
        <f t="shared" si="737"/>
        <v>0</v>
      </c>
      <c r="AC579" s="79">
        <f t="shared" si="738"/>
        <v>0</v>
      </c>
    </row>
    <row r="580" spans="1:29">
      <c r="A580" s="14">
        <v>369.1</v>
      </c>
      <c r="B580" s="15" t="s">
        <v>102</v>
      </c>
      <c r="C580" s="138" t="s">
        <v>175</v>
      </c>
      <c r="D580" s="102"/>
      <c r="E580" s="139" t="s">
        <v>220</v>
      </c>
      <c r="F580" s="155">
        <v>-35</v>
      </c>
      <c r="G580" s="91">
        <f t="shared" si="728"/>
        <v>-26148618.551999997</v>
      </c>
      <c r="H580" s="74">
        <v>74710338.719999999</v>
      </c>
      <c r="I580" s="74">
        <v>27302992</v>
      </c>
      <c r="J580" s="74">
        <f t="shared" si="739"/>
        <v>73555965.272</v>
      </c>
      <c r="K580" s="13"/>
      <c r="L580" s="32"/>
      <c r="M580" s="74">
        <f t="shared" si="730"/>
        <v>1690941.7303908046</v>
      </c>
      <c r="N580" s="68">
        <f t="shared" si="740"/>
        <v>2.2633302958619012E-2</v>
      </c>
      <c r="O580" s="32">
        <v>43.5</v>
      </c>
      <c r="P580" s="13">
        <v>1690287</v>
      </c>
      <c r="Q580" s="119">
        <f t="shared" si="732"/>
        <v>654.73039080458693</v>
      </c>
      <c r="S580" s="13">
        <v>1738252</v>
      </c>
      <c r="T580" s="13">
        <f t="shared" si="733"/>
        <v>-47310.269609195413</v>
      </c>
      <c r="W580" s="124">
        <v>0</v>
      </c>
      <c r="Y580" s="79">
        <f t="shared" si="734"/>
        <v>0</v>
      </c>
      <c r="Z580" s="79">
        <f t="shared" si="735"/>
        <v>0</v>
      </c>
      <c r="AA580" s="79">
        <f t="shared" si="736"/>
        <v>0</v>
      </c>
      <c r="AB580" s="79">
        <f t="shared" si="737"/>
        <v>0</v>
      </c>
      <c r="AC580" s="79">
        <f t="shared" si="738"/>
        <v>0</v>
      </c>
    </row>
    <row r="581" spans="1:29">
      <c r="A581" s="14">
        <v>369.2</v>
      </c>
      <c r="B581" s="15" t="s">
        <v>103</v>
      </c>
      <c r="C581" s="138" t="s">
        <v>175</v>
      </c>
      <c r="D581" s="102"/>
      <c r="E581" s="139" t="s">
        <v>213</v>
      </c>
      <c r="F581" s="155">
        <v>-40</v>
      </c>
      <c r="G581" s="91">
        <f t="shared" si="728"/>
        <v>-60306676.867999993</v>
      </c>
      <c r="H581" s="74">
        <v>150766692.16999999</v>
      </c>
      <c r="I581" s="74">
        <v>59724086</v>
      </c>
      <c r="J581" s="74">
        <f t="shared" si="739"/>
        <v>151349283.03799999</v>
      </c>
      <c r="K581" s="13"/>
      <c r="L581" s="32"/>
      <c r="M581" s="74">
        <f t="shared" si="730"/>
        <v>3527955.3155710953</v>
      </c>
      <c r="N581" s="68">
        <f t="shared" si="740"/>
        <v>2.3400097626291881E-2</v>
      </c>
      <c r="O581" s="32">
        <v>42.9</v>
      </c>
      <c r="P581" s="13">
        <v>3525428</v>
      </c>
      <c r="Q581" s="119">
        <f t="shared" si="732"/>
        <v>2527.3155710953288</v>
      </c>
      <c r="S581" s="13">
        <v>3641494</v>
      </c>
      <c r="T581" s="13">
        <f t="shared" si="733"/>
        <v>-113538.68442890467</v>
      </c>
      <c r="W581" s="124">
        <v>0</v>
      </c>
      <c r="Y581" s="79">
        <f t="shared" si="734"/>
        <v>0</v>
      </c>
      <c r="Z581" s="79">
        <f t="shared" si="735"/>
        <v>0</v>
      </c>
      <c r="AA581" s="79">
        <f t="shared" si="736"/>
        <v>0</v>
      </c>
      <c r="AB581" s="79">
        <f t="shared" si="737"/>
        <v>0</v>
      </c>
      <c r="AC581" s="79">
        <f t="shared" si="738"/>
        <v>0</v>
      </c>
    </row>
    <row r="582" spans="1:29">
      <c r="A582" s="14">
        <v>370</v>
      </c>
      <c r="B582" s="15" t="s">
        <v>113</v>
      </c>
      <c r="C582" s="138" t="s">
        <v>175</v>
      </c>
      <c r="D582" s="102"/>
      <c r="E582" s="139" t="s">
        <v>304</v>
      </c>
      <c r="F582" s="155">
        <v>-4</v>
      </c>
      <c r="G582" s="91">
        <f t="shared" si="728"/>
        <v>-2386250.7180000003</v>
      </c>
      <c r="H582" s="74">
        <v>59656267.950000003</v>
      </c>
      <c r="I582" s="74">
        <v>45489568</v>
      </c>
      <c r="J582" s="74">
        <f t="shared" si="739"/>
        <v>16552950.668000005</v>
      </c>
      <c r="K582" s="13"/>
      <c r="L582" s="32"/>
      <c r="M582" s="74">
        <f t="shared" si="730"/>
        <v>1303381.9423622051</v>
      </c>
      <c r="N582" s="68">
        <f t="shared" si="740"/>
        <v>2.1848197803030774E-2</v>
      </c>
      <c r="O582" s="32">
        <v>12.7</v>
      </c>
      <c r="P582" s="13">
        <v>1307650</v>
      </c>
      <c r="Q582" s="119">
        <f t="shared" si="732"/>
        <v>-4268.0576377948746</v>
      </c>
      <c r="S582" s="13">
        <v>1235407</v>
      </c>
      <c r="T582" s="13">
        <f t="shared" si="733"/>
        <v>67974.942362205125</v>
      </c>
      <c r="W582" s="124">
        <v>0</v>
      </c>
      <c r="Y582" s="79">
        <f t="shared" si="734"/>
        <v>0</v>
      </c>
      <c r="Z582" s="79">
        <f t="shared" si="735"/>
        <v>0</v>
      </c>
      <c r="AA582" s="79">
        <f t="shared" si="736"/>
        <v>0</v>
      </c>
      <c r="AB582" s="79">
        <f t="shared" si="737"/>
        <v>0</v>
      </c>
      <c r="AC582" s="79">
        <f t="shared" si="738"/>
        <v>0</v>
      </c>
    </row>
    <row r="583" spans="1:29">
      <c r="A583" s="14">
        <v>371</v>
      </c>
      <c r="B583" s="15" t="s">
        <v>172</v>
      </c>
      <c r="C583" s="138"/>
      <c r="D583" s="102"/>
      <c r="E583" s="139" t="s">
        <v>224</v>
      </c>
      <c r="F583" s="155">
        <v>-50</v>
      </c>
      <c r="G583" s="91">
        <f t="shared" si="728"/>
        <v>-1237805.075</v>
      </c>
      <c r="H583" s="74">
        <v>2475610.15</v>
      </c>
      <c r="I583" s="74">
        <v>1949273</v>
      </c>
      <c r="J583" s="74">
        <f t="shared" si="739"/>
        <v>1764142.2249999996</v>
      </c>
      <c r="K583" s="13"/>
      <c r="L583" s="32"/>
      <c r="M583" s="74">
        <f t="shared" si="730"/>
        <v>120009.675170068</v>
      </c>
      <c r="N583" s="68">
        <f t="shared" si="740"/>
        <v>4.8476806887412384E-2</v>
      </c>
      <c r="O583" s="32">
        <v>14.7</v>
      </c>
      <c r="P583" s="13">
        <v>120105</v>
      </c>
      <c r="Q583" s="119">
        <f t="shared" si="732"/>
        <v>-95.324829931996646</v>
      </c>
      <c r="S583" s="13">
        <v>108424</v>
      </c>
      <c r="T583" s="13">
        <f t="shared" si="733"/>
        <v>11585.675170068003</v>
      </c>
      <c r="W583" s="124">
        <v>0</v>
      </c>
      <c r="Y583" s="79">
        <f t="shared" si="734"/>
        <v>0</v>
      </c>
      <c r="Z583" s="79">
        <f t="shared" si="735"/>
        <v>0</v>
      </c>
      <c r="AA583" s="79">
        <f t="shared" si="736"/>
        <v>0</v>
      </c>
      <c r="AB583" s="79">
        <f t="shared" si="737"/>
        <v>0</v>
      </c>
      <c r="AC583" s="79">
        <f t="shared" si="738"/>
        <v>0</v>
      </c>
    </row>
    <row r="584" spans="1:29">
      <c r="A584" s="14">
        <v>373</v>
      </c>
      <c r="B584" s="15" t="s">
        <v>173</v>
      </c>
      <c r="C584" s="138"/>
      <c r="D584" s="102"/>
      <c r="E584" s="139" t="s">
        <v>305</v>
      </c>
      <c r="F584" s="155">
        <v>-40</v>
      </c>
      <c r="G584" s="91">
        <f t="shared" si="728"/>
        <v>-8845635.9639999997</v>
      </c>
      <c r="H584" s="74">
        <v>22114089.91</v>
      </c>
      <c r="I584" s="74">
        <v>8690126</v>
      </c>
      <c r="J584" s="74">
        <f t="shared" si="739"/>
        <v>22269599.873999998</v>
      </c>
      <c r="K584" s="13"/>
      <c r="L584" s="32"/>
      <c r="M584" s="74">
        <f t="shared" si="730"/>
        <v>645495.64852173906</v>
      </c>
      <c r="N584" s="68">
        <f t="shared" si="740"/>
        <v>2.9189338161723113E-2</v>
      </c>
      <c r="O584" s="32">
        <v>34.5</v>
      </c>
      <c r="P584" s="13">
        <v>645981</v>
      </c>
      <c r="Q584" s="119">
        <f t="shared" si="732"/>
        <v>-485.3514782609418</v>
      </c>
      <c r="S584" s="13">
        <v>655626</v>
      </c>
      <c r="T584" s="13">
        <f t="shared" si="733"/>
        <v>-10130.351478260942</v>
      </c>
      <c r="W584" s="124">
        <v>0</v>
      </c>
      <c r="Y584" s="79">
        <f t="shared" si="734"/>
        <v>0</v>
      </c>
      <c r="Z584" s="79">
        <f t="shared" si="735"/>
        <v>0</v>
      </c>
      <c r="AA584" s="79">
        <f t="shared" si="736"/>
        <v>0</v>
      </c>
      <c r="AB584" s="79">
        <f t="shared" si="737"/>
        <v>0</v>
      </c>
      <c r="AC584" s="79">
        <f t="shared" si="738"/>
        <v>0</v>
      </c>
    </row>
    <row r="585" spans="1:29">
      <c r="A585" s="6"/>
      <c r="B585" s="48" t="s">
        <v>106</v>
      </c>
      <c r="C585" s="23"/>
      <c r="D585" s="102"/>
      <c r="F585" s="154"/>
      <c r="G585" s="72"/>
      <c r="H585" s="83">
        <f>+SUBTOTAL(9,H570:H584)</f>
        <v>1746776175.6400003</v>
      </c>
      <c r="I585" s="83">
        <f>+SUBTOTAL(9,I570:I584)</f>
        <v>791511087</v>
      </c>
      <c r="J585" s="83">
        <f>+SUBTOTAL(9,J570:J584)</f>
        <v>1758008204.4614999</v>
      </c>
      <c r="K585" s="51"/>
      <c r="L585" s="31"/>
      <c r="M585" s="83">
        <f>+SUBTOTAL(9,M570:M584)</f>
        <v>44005957.380666532</v>
      </c>
      <c r="N585" s="52">
        <f>+ROUND(M585/H585*100,2)</f>
        <v>2.52</v>
      </c>
      <c r="O585" s="31"/>
      <c r="P585" s="106">
        <f>+SUBTOTAL(9,P570:P584)</f>
        <v>44018809</v>
      </c>
      <c r="Q585" s="109">
        <f>+SUBTOTAL(9,Q570:Q584)</f>
        <v>-12851.619333460236</v>
      </c>
      <c r="S585" s="106">
        <f>+SUBTOTAL(9,S570:S584)</f>
        <v>45706796</v>
      </c>
      <c r="T585" s="106">
        <f>+SUBTOTAL(9,T570:T584)</f>
        <v>-1700838.6193334602</v>
      </c>
      <c r="Y585" s="83">
        <f t="shared" ref="Y585:AC585" si="741">+SUBTOTAL(9,Y570:Y584)</f>
        <v>0</v>
      </c>
      <c r="Z585" s="83">
        <f t="shared" si="741"/>
        <v>0</v>
      </c>
      <c r="AA585" s="83">
        <f t="shared" si="741"/>
        <v>0</v>
      </c>
      <c r="AB585" s="83">
        <f t="shared" si="741"/>
        <v>0</v>
      </c>
      <c r="AC585" s="83">
        <f t="shared" si="741"/>
        <v>0</v>
      </c>
    </row>
    <row r="586" spans="1:29">
      <c r="A586" s="14"/>
      <c r="B586" s="17"/>
      <c r="C586" s="23"/>
      <c r="D586" s="102"/>
      <c r="F586" s="154"/>
      <c r="G586" s="72"/>
      <c r="H586" s="74"/>
      <c r="I586" s="74"/>
      <c r="J586" s="74"/>
      <c r="K586" s="13"/>
      <c r="L586" s="31"/>
      <c r="M586" s="74"/>
      <c r="N586" s="27"/>
      <c r="O586" s="31"/>
      <c r="P586" s="13"/>
      <c r="Q586" s="122"/>
      <c r="S586" s="13"/>
      <c r="T586" s="13"/>
    </row>
    <row r="587" spans="1:29">
      <c r="A587" s="6"/>
      <c r="B587" s="61" t="s">
        <v>104</v>
      </c>
      <c r="C587" s="23"/>
      <c r="D587" s="102"/>
      <c r="F587" s="154"/>
      <c r="G587" s="72"/>
      <c r="H587" s="74"/>
      <c r="I587" s="74"/>
      <c r="J587" s="74"/>
      <c r="K587" s="13"/>
      <c r="L587" s="31"/>
      <c r="M587" s="74"/>
      <c r="N587" s="27"/>
      <c r="O587" s="31"/>
      <c r="P587" s="13"/>
      <c r="Q587" s="122"/>
      <c r="S587" s="13"/>
      <c r="T587" s="13"/>
    </row>
    <row r="588" spans="1:29">
      <c r="A588" s="14">
        <v>360.2</v>
      </c>
      <c r="B588" s="15" t="s">
        <v>10</v>
      </c>
      <c r="C588" s="138" t="s">
        <v>175</v>
      </c>
      <c r="D588" s="102"/>
      <c r="E588" s="139" t="s">
        <v>241</v>
      </c>
      <c r="F588" s="155">
        <v>0</v>
      </c>
      <c r="G588" s="91">
        <f t="shared" ref="G588:G601" si="742">H588*F588/100</f>
        <v>0</v>
      </c>
      <c r="H588" s="74">
        <v>247443.24</v>
      </c>
      <c r="I588" s="74">
        <v>142970</v>
      </c>
      <c r="J588" s="74">
        <f t="shared" ref="J588:J601" si="743">H588-G588-I588</f>
        <v>104473.23999999999</v>
      </c>
      <c r="K588" s="13"/>
      <c r="L588" s="32"/>
      <c r="M588" s="74">
        <f t="shared" ref="M588:M601" si="744">J588/O588</f>
        <v>4033.7158301158302</v>
      </c>
      <c r="N588" s="68">
        <f t="shared" ref="N588:N601" si="745">M588/H588</f>
        <v>1.6301580233575304E-2</v>
      </c>
      <c r="O588" s="32">
        <v>25.9</v>
      </c>
      <c r="P588" s="13">
        <v>4037</v>
      </c>
      <c r="Q588" s="119">
        <f t="shared" ref="Q588:Q601" si="746">M588-P588</f>
        <v>-3.2841698841698417</v>
      </c>
      <c r="S588" s="13">
        <v>3929</v>
      </c>
      <c r="T588" s="13">
        <f t="shared" ref="T588:T601" si="747">M588-S588</f>
        <v>104.71583011583016</v>
      </c>
      <c r="W588" s="124">
        <v>0</v>
      </c>
      <c r="Y588" s="79">
        <f t="shared" ref="Y588:Y601" si="748">P588*W588</f>
        <v>0</v>
      </c>
      <c r="Z588" s="79">
        <f t="shared" ref="Z588:Z601" si="749">P588*W588</f>
        <v>0</v>
      </c>
      <c r="AA588" s="79">
        <f t="shared" ref="AA588:AA601" si="750">Q588*W588</f>
        <v>0</v>
      </c>
      <c r="AB588" s="79">
        <f t="shared" ref="AB588:AB601" si="751">S588*W588</f>
        <v>0</v>
      </c>
      <c r="AC588" s="79">
        <f t="shared" ref="AC588:AC601" si="752">T588*W588</f>
        <v>0</v>
      </c>
    </row>
    <row r="589" spans="1:29">
      <c r="A589" s="14">
        <v>361</v>
      </c>
      <c r="B589" s="15" t="s">
        <v>162</v>
      </c>
      <c r="C589" s="138" t="s">
        <v>175</v>
      </c>
      <c r="D589" s="102"/>
      <c r="E589" s="139" t="s">
        <v>208</v>
      </c>
      <c r="F589" s="155">
        <v>-5</v>
      </c>
      <c r="G589" s="91">
        <f t="shared" si="742"/>
        <v>-114697.18400000001</v>
      </c>
      <c r="H589" s="74">
        <v>2293943.6800000002</v>
      </c>
      <c r="I589" s="74">
        <v>765008</v>
      </c>
      <c r="J589" s="74">
        <f t="shared" si="743"/>
        <v>1643632.8640000001</v>
      </c>
      <c r="K589" s="13"/>
      <c r="L589" s="32"/>
      <c r="M589" s="74">
        <f t="shared" si="744"/>
        <v>37611.736018306634</v>
      </c>
      <c r="N589" s="68">
        <f t="shared" si="745"/>
        <v>1.639610263592288E-2</v>
      </c>
      <c r="O589" s="32">
        <v>43.7</v>
      </c>
      <c r="P589" s="13">
        <v>37605</v>
      </c>
      <c r="Q589" s="119">
        <f t="shared" si="746"/>
        <v>6.7360183066339232</v>
      </c>
      <c r="S589" s="13">
        <v>37294</v>
      </c>
      <c r="T589" s="13">
        <f t="shared" si="747"/>
        <v>317.73601830663392</v>
      </c>
      <c r="W589" s="124">
        <v>0</v>
      </c>
      <c r="Y589" s="79">
        <f t="shared" si="748"/>
        <v>0</v>
      </c>
      <c r="Z589" s="79">
        <f t="shared" si="749"/>
        <v>0</v>
      </c>
      <c r="AA589" s="79">
        <f t="shared" si="750"/>
        <v>0</v>
      </c>
      <c r="AB589" s="79">
        <f t="shared" si="751"/>
        <v>0</v>
      </c>
      <c r="AC589" s="79">
        <f t="shared" si="752"/>
        <v>0</v>
      </c>
    </row>
    <row r="590" spans="1:29">
      <c r="A590" s="14">
        <v>362</v>
      </c>
      <c r="B590" s="15" t="s">
        <v>98</v>
      </c>
      <c r="C590" s="138" t="s">
        <v>175</v>
      </c>
      <c r="D590" s="102"/>
      <c r="E590" s="139" t="s">
        <v>306</v>
      </c>
      <c r="F590" s="155">
        <v>-20</v>
      </c>
      <c r="G590" s="91">
        <f t="shared" si="742"/>
        <v>-9334970.3480000012</v>
      </c>
      <c r="H590" s="74">
        <v>46674851.740000002</v>
      </c>
      <c r="I590" s="74">
        <v>16364818</v>
      </c>
      <c r="J590" s="74">
        <f t="shared" si="743"/>
        <v>39645004.088</v>
      </c>
      <c r="K590" s="13"/>
      <c r="L590" s="32"/>
      <c r="M590" s="74">
        <f t="shared" si="744"/>
        <v>996105.63035175891</v>
      </c>
      <c r="N590" s="68">
        <f t="shared" si="745"/>
        <v>2.134137749168475E-2</v>
      </c>
      <c r="O590" s="32">
        <v>39.799999999999997</v>
      </c>
      <c r="P590" s="13">
        <v>995369</v>
      </c>
      <c r="Q590" s="119">
        <f t="shared" si="746"/>
        <v>736.63035175891127</v>
      </c>
      <c r="S590" s="13">
        <v>1008719</v>
      </c>
      <c r="T590" s="13">
        <f t="shared" si="747"/>
        <v>-12613.369648241089</v>
      </c>
      <c r="W590" s="124">
        <v>0</v>
      </c>
      <c r="Y590" s="79">
        <f t="shared" si="748"/>
        <v>0</v>
      </c>
      <c r="Z590" s="79">
        <f t="shared" si="749"/>
        <v>0</v>
      </c>
      <c r="AA590" s="79">
        <f t="shared" si="750"/>
        <v>0</v>
      </c>
      <c r="AB590" s="79">
        <f t="shared" si="751"/>
        <v>0</v>
      </c>
      <c r="AC590" s="79">
        <f t="shared" si="752"/>
        <v>0</v>
      </c>
    </row>
    <row r="591" spans="1:29">
      <c r="A591" s="14">
        <v>362.7</v>
      </c>
      <c r="B591" s="15" t="s">
        <v>14</v>
      </c>
      <c r="C591" s="138" t="s">
        <v>175</v>
      </c>
      <c r="D591" s="102"/>
      <c r="E591" s="139" t="s">
        <v>307</v>
      </c>
      <c r="F591" s="155">
        <v>0</v>
      </c>
      <c r="G591" s="91">
        <f t="shared" si="742"/>
        <v>0</v>
      </c>
      <c r="H591" s="74">
        <v>919385.82</v>
      </c>
      <c r="I591" s="74">
        <v>628603</v>
      </c>
      <c r="J591" s="74">
        <f t="shared" si="743"/>
        <v>290782.81999999995</v>
      </c>
      <c r="K591" s="13"/>
      <c r="L591" s="32"/>
      <c r="M591" s="74">
        <f t="shared" si="744"/>
        <v>25067.484482758617</v>
      </c>
      <c r="N591" s="68">
        <f t="shared" si="745"/>
        <v>2.7265467812804225E-2</v>
      </c>
      <c r="O591" s="32">
        <v>11.6</v>
      </c>
      <c r="P591" s="13">
        <v>25029</v>
      </c>
      <c r="Q591" s="119">
        <f t="shared" si="746"/>
        <v>38.48448275861665</v>
      </c>
      <c r="S591" s="13">
        <v>19616</v>
      </c>
      <c r="T591" s="13">
        <f t="shared" si="747"/>
        <v>5451.4844827586167</v>
      </c>
      <c r="W591" s="124">
        <v>0</v>
      </c>
      <c r="Y591" s="79">
        <f t="shared" si="748"/>
        <v>0</v>
      </c>
      <c r="Z591" s="79">
        <f t="shared" si="749"/>
        <v>0</v>
      </c>
      <c r="AA591" s="79">
        <f t="shared" si="750"/>
        <v>0</v>
      </c>
      <c r="AB591" s="79">
        <f t="shared" si="751"/>
        <v>0</v>
      </c>
      <c r="AC591" s="79">
        <f t="shared" si="752"/>
        <v>0</v>
      </c>
    </row>
    <row r="592" spans="1:29">
      <c r="A592" s="14">
        <v>364</v>
      </c>
      <c r="B592" s="15" t="s">
        <v>171</v>
      </c>
      <c r="C592" s="138" t="s">
        <v>175</v>
      </c>
      <c r="D592" s="102"/>
      <c r="E592" s="139" t="s">
        <v>308</v>
      </c>
      <c r="F592" s="155">
        <v>-100</v>
      </c>
      <c r="G592" s="91">
        <f t="shared" si="742"/>
        <v>-91889277.590000004</v>
      </c>
      <c r="H592" s="74">
        <v>91889277.590000004</v>
      </c>
      <c r="I592" s="74">
        <v>49970394</v>
      </c>
      <c r="J592" s="74">
        <f t="shared" si="743"/>
        <v>133808161.18000001</v>
      </c>
      <c r="K592" s="13"/>
      <c r="L592" s="32"/>
      <c r="M592" s="74">
        <f t="shared" si="744"/>
        <v>3345204.0295000002</v>
      </c>
      <c r="N592" s="68">
        <f t="shared" si="745"/>
        <v>3.6404726614849864E-2</v>
      </c>
      <c r="O592" s="32">
        <v>40</v>
      </c>
      <c r="P592" s="13">
        <v>3346382</v>
      </c>
      <c r="Q592" s="119">
        <f t="shared" si="746"/>
        <v>-1177.9704999998212</v>
      </c>
      <c r="S592" s="13">
        <v>3497869</v>
      </c>
      <c r="T592" s="13">
        <f t="shared" si="747"/>
        <v>-152664.97049999982</v>
      </c>
      <c r="W592" s="124">
        <v>0</v>
      </c>
      <c r="Y592" s="79">
        <f t="shared" si="748"/>
        <v>0</v>
      </c>
      <c r="Z592" s="79">
        <f t="shared" si="749"/>
        <v>0</v>
      </c>
      <c r="AA592" s="79">
        <f t="shared" si="750"/>
        <v>0</v>
      </c>
      <c r="AB592" s="79">
        <f t="shared" si="751"/>
        <v>0</v>
      </c>
      <c r="AC592" s="79">
        <f t="shared" si="752"/>
        <v>0</v>
      </c>
    </row>
    <row r="593" spans="1:29">
      <c r="A593" s="14">
        <v>365</v>
      </c>
      <c r="B593" s="15" t="s">
        <v>167</v>
      </c>
      <c r="C593" s="138"/>
      <c r="D593" s="102"/>
      <c r="E593" s="139" t="s">
        <v>309</v>
      </c>
      <c r="F593" s="155">
        <v>-60</v>
      </c>
      <c r="G593" s="91">
        <f t="shared" si="742"/>
        <v>-34867693.008000001</v>
      </c>
      <c r="H593" s="74">
        <v>58112821.68</v>
      </c>
      <c r="I593" s="74">
        <v>25995268</v>
      </c>
      <c r="J593" s="74">
        <f t="shared" si="743"/>
        <v>66985246.687999994</v>
      </c>
      <c r="K593" s="13"/>
      <c r="L593" s="32"/>
      <c r="M593" s="74">
        <f t="shared" si="744"/>
        <v>1468974.7080701753</v>
      </c>
      <c r="N593" s="68">
        <f t="shared" si="745"/>
        <v>2.5277979378787157E-2</v>
      </c>
      <c r="O593" s="32">
        <v>45.6</v>
      </c>
      <c r="P593" s="13">
        <v>1469596</v>
      </c>
      <c r="Q593" s="119">
        <f t="shared" si="746"/>
        <v>-621.29192982474342</v>
      </c>
      <c r="S593" s="13">
        <v>1511083</v>
      </c>
      <c r="T593" s="13">
        <f t="shared" si="747"/>
        <v>-42108.291929824743</v>
      </c>
      <c r="W593" s="124">
        <v>0</v>
      </c>
      <c r="Y593" s="79">
        <f t="shared" si="748"/>
        <v>0</v>
      </c>
      <c r="Z593" s="79">
        <f t="shared" si="749"/>
        <v>0</v>
      </c>
      <c r="AA593" s="79">
        <f t="shared" si="750"/>
        <v>0</v>
      </c>
      <c r="AB593" s="79">
        <f t="shared" si="751"/>
        <v>0</v>
      </c>
      <c r="AC593" s="79">
        <f t="shared" si="752"/>
        <v>0</v>
      </c>
    </row>
    <row r="594" spans="1:29">
      <c r="A594" s="14">
        <v>366</v>
      </c>
      <c r="B594" s="15" t="s">
        <v>168</v>
      </c>
      <c r="C594" s="138" t="s">
        <v>175</v>
      </c>
      <c r="D594" s="102"/>
      <c r="E594" s="139" t="s">
        <v>241</v>
      </c>
      <c r="F594" s="155">
        <v>-50</v>
      </c>
      <c r="G594" s="91">
        <f t="shared" si="742"/>
        <v>-8064237.7350000003</v>
      </c>
      <c r="H594" s="74">
        <v>16128475.470000001</v>
      </c>
      <c r="I594" s="74">
        <v>7642966</v>
      </c>
      <c r="J594" s="74">
        <f t="shared" si="743"/>
        <v>16549747.205000002</v>
      </c>
      <c r="K594" s="13"/>
      <c r="L594" s="32"/>
      <c r="M594" s="74">
        <f t="shared" si="744"/>
        <v>454663.38475274731</v>
      </c>
      <c r="N594" s="68">
        <f t="shared" si="745"/>
        <v>2.8190103001269423E-2</v>
      </c>
      <c r="O594" s="32">
        <v>36.4</v>
      </c>
      <c r="P594" s="13">
        <v>454428</v>
      </c>
      <c r="Q594" s="119">
        <f t="shared" si="746"/>
        <v>235.38475274731172</v>
      </c>
      <c r="S594" s="13">
        <v>481053</v>
      </c>
      <c r="T594" s="13">
        <f t="shared" si="747"/>
        <v>-26389.615247252688</v>
      </c>
      <c r="W594" s="124">
        <v>0</v>
      </c>
      <c r="Y594" s="79">
        <f t="shared" si="748"/>
        <v>0</v>
      </c>
      <c r="Z594" s="79">
        <f t="shared" si="749"/>
        <v>0</v>
      </c>
      <c r="AA594" s="79">
        <f t="shared" si="750"/>
        <v>0</v>
      </c>
      <c r="AB594" s="79">
        <f t="shared" si="751"/>
        <v>0</v>
      </c>
      <c r="AC594" s="79">
        <f t="shared" si="752"/>
        <v>0</v>
      </c>
    </row>
    <row r="595" spans="1:29">
      <c r="A595" s="14">
        <v>367</v>
      </c>
      <c r="B595" s="15" t="s">
        <v>169</v>
      </c>
      <c r="C595" s="138"/>
      <c r="D595" s="102"/>
      <c r="E595" s="139" t="s">
        <v>241</v>
      </c>
      <c r="F595" s="155">
        <v>-35</v>
      </c>
      <c r="G595" s="91">
        <f t="shared" si="742"/>
        <v>-7730450.2450000001</v>
      </c>
      <c r="H595" s="74">
        <v>22087000.699999999</v>
      </c>
      <c r="I595" s="74">
        <v>8811757</v>
      </c>
      <c r="J595" s="74">
        <f t="shared" si="743"/>
        <v>21005693.945</v>
      </c>
      <c r="K595" s="13"/>
      <c r="L595" s="32"/>
      <c r="M595" s="74">
        <f t="shared" si="744"/>
        <v>560151.83853333339</v>
      </c>
      <c r="N595" s="68">
        <f t="shared" si="745"/>
        <v>2.5361154560625036E-2</v>
      </c>
      <c r="O595" s="32">
        <v>37.5</v>
      </c>
      <c r="P595" s="13">
        <v>559946</v>
      </c>
      <c r="Q595" s="119">
        <f t="shared" si="746"/>
        <v>205.83853333338629</v>
      </c>
      <c r="S595" s="13">
        <v>607808</v>
      </c>
      <c r="T595" s="13">
        <f t="shared" si="747"/>
        <v>-47656.161466666614</v>
      </c>
      <c r="W595" s="124">
        <v>0</v>
      </c>
      <c r="Y595" s="79">
        <f t="shared" si="748"/>
        <v>0</v>
      </c>
      <c r="Z595" s="79">
        <f t="shared" si="749"/>
        <v>0</v>
      </c>
      <c r="AA595" s="79">
        <f t="shared" si="750"/>
        <v>0</v>
      </c>
      <c r="AB595" s="79">
        <f t="shared" si="751"/>
        <v>0</v>
      </c>
      <c r="AC595" s="79">
        <f t="shared" si="752"/>
        <v>0</v>
      </c>
    </row>
    <row r="596" spans="1:29">
      <c r="A596" s="14">
        <v>368</v>
      </c>
      <c r="B596" s="15" t="s">
        <v>101</v>
      </c>
      <c r="C596" s="138" t="s">
        <v>175</v>
      </c>
      <c r="D596" s="102"/>
      <c r="E596" s="139" t="s">
        <v>310</v>
      </c>
      <c r="F596" s="155">
        <v>-25</v>
      </c>
      <c r="G596" s="91">
        <f t="shared" si="742"/>
        <v>-24666418.399999999</v>
      </c>
      <c r="H596" s="74">
        <v>98665673.599999994</v>
      </c>
      <c r="I596" s="74">
        <v>45124546</v>
      </c>
      <c r="J596" s="74">
        <f t="shared" si="743"/>
        <v>78207546</v>
      </c>
      <c r="K596" s="13"/>
      <c r="L596" s="32"/>
      <c r="M596" s="74">
        <f t="shared" si="744"/>
        <v>2624414.2953020134</v>
      </c>
      <c r="N596" s="68">
        <f t="shared" si="745"/>
        <v>2.6599061249423361E-2</v>
      </c>
      <c r="O596" s="32">
        <v>29.8</v>
      </c>
      <c r="P596" s="13">
        <v>2621417</v>
      </c>
      <c r="Q596" s="119">
        <f t="shared" si="746"/>
        <v>2997.2953020134009</v>
      </c>
      <c r="S596" s="13">
        <v>2633408</v>
      </c>
      <c r="T596" s="13">
        <f t="shared" si="747"/>
        <v>-8993.7046979865991</v>
      </c>
      <c r="W596" s="124">
        <v>0</v>
      </c>
      <c r="Y596" s="79">
        <f t="shared" si="748"/>
        <v>0</v>
      </c>
      <c r="Z596" s="79">
        <f t="shared" si="749"/>
        <v>0</v>
      </c>
      <c r="AA596" s="79">
        <f t="shared" si="750"/>
        <v>0</v>
      </c>
      <c r="AB596" s="79">
        <f t="shared" si="751"/>
        <v>0</v>
      </c>
      <c r="AC596" s="79">
        <f t="shared" si="752"/>
        <v>0</v>
      </c>
    </row>
    <row r="597" spans="1:29">
      <c r="A597" s="14">
        <v>369.1</v>
      </c>
      <c r="B597" s="15" t="s">
        <v>102</v>
      </c>
      <c r="C597" s="138" t="s">
        <v>175</v>
      </c>
      <c r="D597" s="102"/>
      <c r="E597" s="139" t="s">
        <v>220</v>
      </c>
      <c r="F597" s="155">
        <v>-30</v>
      </c>
      <c r="G597" s="91">
        <f t="shared" si="742"/>
        <v>-5603464.4070000006</v>
      </c>
      <c r="H597" s="74">
        <v>18678214.690000001</v>
      </c>
      <c r="I597" s="74">
        <v>6378889</v>
      </c>
      <c r="J597" s="74">
        <f t="shared" si="743"/>
        <v>17902790.097000003</v>
      </c>
      <c r="K597" s="13"/>
      <c r="L597" s="32"/>
      <c r="M597" s="74">
        <f t="shared" si="744"/>
        <v>418289.48824766366</v>
      </c>
      <c r="N597" s="68">
        <f t="shared" si="745"/>
        <v>2.2394511209447052E-2</v>
      </c>
      <c r="O597" s="32">
        <v>42.8</v>
      </c>
      <c r="P597" s="13">
        <v>418674</v>
      </c>
      <c r="Q597" s="119">
        <f t="shared" si="746"/>
        <v>-384.51175233634422</v>
      </c>
      <c r="S597" s="13">
        <v>432960</v>
      </c>
      <c r="T597" s="13">
        <f t="shared" si="747"/>
        <v>-14670.511752336344</v>
      </c>
      <c r="W597" s="124">
        <v>0</v>
      </c>
      <c r="Y597" s="79">
        <f t="shared" si="748"/>
        <v>0</v>
      </c>
      <c r="Z597" s="79">
        <f t="shared" si="749"/>
        <v>0</v>
      </c>
      <c r="AA597" s="79">
        <f t="shared" si="750"/>
        <v>0</v>
      </c>
      <c r="AB597" s="79">
        <f t="shared" si="751"/>
        <v>0</v>
      </c>
      <c r="AC597" s="79">
        <f t="shared" si="752"/>
        <v>0</v>
      </c>
    </row>
    <row r="598" spans="1:29">
      <c r="A598" s="14">
        <v>369.2</v>
      </c>
      <c r="B598" s="15" t="s">
        <v>103</v>
      </c>
      <c r="C598" s="138" t="s">
        <v>175</v>
      </c>
      <c r="D598" s="102"/>
      <c r="E598" s="139" t="s">
        <v>213</v>
      </c>
      <c r="F598" s="155">
        <v>-50</v>
      </c>
      <c r="G598" s="91">
        <f t="shared" si="742"/>
        <v>-16337352.605</v>
      </c>
      <c r="H598" s="74">
        <v>32674705.210000001</v>
      </c>
      <c r="I598" s="74">
        <v>12598096</v>
      </c>
      <c r="J598" s="74">
        <f t="shared" si="743"/>
        <v>36413961.814999998</v>
      </c>
      <c r="K598" s="13"/>
      <c r="L598" s="32"/>
      <c r="M598" s="74">
        <f t="shared" si="744"/>
        <v>846836.32127906976</v>
      </c>
      <c r="N598" s="68">
        <f t="shared" si="745"/>
        <v>2.5917183210574089E-2</v>
      </c>
      <c r="O598" s="32">
        <v>43</v>
      </c>
      <c r="P598" s="13">
        <v>847355</v>
      </c>
      <c r="Q598" s="119">
        <f t="shared" si="746"/>
        <v>-518.67872093024198</v>
      </c>
      <c r="S598" s="13">
        <v>879144</v>
      </c>
      <c r="T598" s="13">
        <f t="shared" si="747"/>
        <v>-32307.678720930242</v>
      </c>
      <c r="W598" s="124">
        <v>0</v>
      </c>
      <c r="Y598" s="79">
        <f t="shared" si="748"/>
        <v>0</v>
      </c>
      <c r="Z598" s="79">
        <f t="shared" si="749"/>
        <v>0</v>
      </c>
      <c r="AA598" s="79">
        <f t="shared" si="750"/>
        <v>0</v>
      </c>
      <c r="AB598" s="79">
        <f t="shared" si="751"/>
        <v>0</v>
      </c>
      <c r="AC598" s="79">
        <f t="shared" si="752"/>
        <v>0</v>
      </c>
    </row>
    <row r="599" spans="1:29">
      <c r="A599" s="14">
        <v>370</v>
      </c>
      <c r="B599" s="15" t="s">
        <v>113</v>
      </c>
      <c r="C599" s="138" t="s">
        <v>175</v>
      </c>
      <c r="D599" s="102"/>
      <c r="E599" s="139" t="s">
        <v>311</v>
      </c>
      <c r="F599" s="155">
        <v>-1</v>
      </c>
      <c r="G599" s="91">
        <f t="shared" si="742"/>
        <v>-113422.66380000001</v>
      </c>
      <c r="H599" s="74">
        <v>11342266.380000001</v>
      </c>
      <c r="I599" s="74">
        <v>1909111</v>
      </c>
      <c r="J599" s="74">
        <f t="shared" si="743"/>
        <v>9546578.0438000001</v>
      </c>
      <c r="K599" s="13"/>
      <c r="L599" s="32"/>
      <c r="M599" s="74">
        <f t="shared" si="744"/>
        <v>411490.43292241381</v>
      </c>
      <c r="N599" s="68">
        <f t="shared" si="745"/>
        <v>3.6279383602557724E-2</v>
      </c>
      <c r="O599" s="32">
        <v>23.2</v>
      </c>
      <c r="P599" s="13">
        <v>411775</v>
      </c>
      <c r="Q599" s="119">
        <f t="shared" si="746"/>
        <v>-284.5670775861945</v>
      </c>
      <c r="S599" s="13">
        <v>414035</v>
      </c>
      <c r="T599" s="13">
        <f t="shared" si="747"/>
        <v>-2544.5670775861945</v>
      </c>
      <c r="W599" s="124">
        <v>0</v>
      </c>
      <c r="Y599" s="79">
        <f t="shared" si="748"/>
        <v>0</v>
      </c>
      <c r="Z599" s="79">
        <f t="shared" si="749"/>
        <v>0</v>
      </c>
      <c r="AA599" s="79">
        <f t="shared" si="750"/>
        <v>0</v>
      </c>
      <c r="AB599" s="79">
        <f t="shared" si="751"/>
        <v>0</v>
      </c>
      <c r="AC599" s="79">
        <f t="shared" si="752"/>
        <v>0</v>
      </c>
    </row>
    <row r="600" spans="1:29">
      <c r="A600" s="14">
        <v>371</v>
      </c>
      <c r="B600" s="15" t="s">
        <v>172</v>
      </c>
      <c r="C600" s="138"/>
      <c r="D600" s="102"/>
      <c r="E600" s="139" t="s">
        <v>216</v>
      </c>
      <c r="F600" s="155">
        <v>-25</v>
      </c>
      <c r="G600" s="91">
        <f t="shared" si="742"/>
        <v>-130341.9425</v>
      </c>
      <c r="H600" s="74">
        <v>521367.77</v>
      </c>
      <c r="I600" s="74">
        <v>346921</v>
      </c>
      <c r="J600" s="74">
        <f t="shared" si="743"/>
        <v>304788.71250000002</v>
      </c>
      <c r="K600" s="13"/>
      <c r="L600" s="32"/>
      <c r="M600" s="74">
        <f t="shared" si="744"/>
        <v>19049.294531250001</v>
      </c>
      <c r="N600" s="68">
        <f t="shared" si="745"/>
        <v>3.6537154053941617E-2</v>
      </c>
      <c r="O600" s="32">
        <v>16</v>
      </c>
      <c r="P600" s="13">
        <v>19048</v>
      </c>
      <c r="Q600" s="119">
        <f t="shared" si="746"/>
        <v>1.2945312500014552</v>
      </c>
      <c r="S600" s="13">
        <v>16541</v>
      </c>
      <c r="T600" s="13">
        <f t="shared" si="747"/>
        <v>2508.2945312500015</v>
      </c>
      <c r="W600" s="124">
        <v>0</v>
      </c>
      <c r="Y600" s="79">
        <f t="shared" si="748"/>
        <v>0</v>
      </c>
      <c r="Z600" s="79">
        <f t="shared" si="749"/>
        <v>0</v>
      </c>
      <c r="AA600" s="79">
        <f t="shared" si="750"/>
        <v>0</v>
      </c>
      <c r="AB600" s="79">
        <f t="shared" si="751"/>
        <v>0</v>
      </c>
      <c r="AC600" s="79">
        <f t="shared" si="752"/>
        <v>0</v>
      </c>
    </row>
    <row r="601" spans="1:29">
      <c r="A601" s="14">
        <v>373</v>
      </c>
      <c r="B601" s="15" t="s">
        <v>173</v>
      </c>
      <c r="C601" s="138"/>
      <c r="D601" s="102"/>
      <c r="E601" s="139" t="s">
        <v>312</v>
      </c>
      <c r="F601" s="155">
        <v>-30</v>
      </c>
      <c r="G601" s="91">
        <f t="shared" si="742"/>
        <v>-1197751.6499999999</v>
      </c>
      <c r="H601" s="78">
        <v>3992505.5</v>
      </c>
      <c r="I601" s="78">
        <v>1691649</v>
      </c>
      <c r="J601" s="74">
        <f t="shared" si="743"/>
        <v>3498608.1500000004</v>
      </c>
      <c r="K601" s="13"/>
      <c r="L601" s="32"/>
      <c r="M601" s="74">
        <f t="shared" si="744"/>
        <v>106664.88262195124</v>
      </c>
      <c r="N601" s="68">
        <f t="shared" si="745"/>
        <v>2.6716276939869273E-2</v>
      </c>
      <c r="O601" s="32">
        <v>32.799999999999997</v>
      </c>
      <c r="P601" s="142">
        <v>106689</v>
      </c>
      <c r="Q601" s="119">
        <f t="shared" si="746"/>
        <v>-24.117378048758837</v>
      </c>
      <c r="S601" s="142">
        <v>102802</v>
      </c>
      <c r="T601" s="13">
        <f t="shared" si="747"/>
        <v>3862.8826219512412</v>
      </c>
      <c r="W601" s="124">
        <v>0</v>
      </c>
      <c r="Y601" s="79">
        <f t="shared" si="748"/>
        <v>0</v>
      </c>
      <c r="Z601" s="79">
        <f t="shared" si="749"/>
        <v>0</v>
      </c>
      <c r="AA601" s="79">
        <f t="shared" si="750"/>
        <v>0</v>
      </c>
      <c r="AB601" s="79">
        <f t="shared" si="751"/>
        <v>0</v>
      </c>
      <c r="AC601" s="79">
        <f t="shared" si="752"/>
        <v>0</v>
      </c>
    </row>
    <row r="602" spans="1:29">
      <c r="A602" s="6"/>
      <c r="B602" s="48" t="s">
        <v>107</v>
      </c>
      <c r="C602" s="23"/>
      <c r="D602" s="102"/>
      <c r="F602" s="154"/>
      <c r="G602" s="72"/>
      <c r="H602" s="77">
        <f>+SUBTOTAL(9,H588:H601)</f>
        <v>404227933.06999993</v>
      </c>
      <c r="I602" s="77">
        <f>+SUBTOTAL(9,I588:I601)</f>
        <v>178370996</v>
      </c>
      <c r="J602" s="77">
        <f>+SUBTOTAL(9,J588:J601)</f>
        <v>425907014.84829998</v>
      </c>
      <c r="K602" s="51"/>
      <c r="L602" s="31"/>
      <c r="M602" s="77">
        <f>+SUBTOTAL(9,M588:M601)</f>
        <v>11318557.242443558</v>
      </c>
      <c r="N602" s="27">
        <f>+ROUND(M602/H602*100,2)</f>
        <v>2.8</v>
      </c>
      <c r="O602" s="31"/>
      <c r="P602" s="51">
        <f>+SUBTOTAL(9,P588:P601)</f>
        <v>11317350</v>
      </c>
      <c r="Q602" s="110">
        <f>+SUBTOTAL(9,Q588:Q601)</f>
        <v>1207.2424435579883</v>
      </c>
      <c r="S602" s="51">
        <f>+SUBTOTAL(9,S588:S601)</f>
        <v>11646261</v>
      </c>
      <c r="T602" s="51">
        <f>+SUBTOTAL(9,T588:T601)</f>
        <v>-327703.757556442</v>
      </c>
      <c r="Y602" s="77">
        <f t="shared" ref="Y602:AC602" si="753">+SUBTOTAL(9,Y588:Y601)</f>
        <v>0</v>
      </c>
      <c r="Z602" s="77">
        <f t="shared" si="753"/>
        <v>0</v>
      </c>
      <c r="AA602" s="77">
        <f t="shared" si="753"/>
        <v>0</v>
      </c>
      <c r="AB602" s="77">
        <f t="shared" si="753"/>
        <v>0</v>
      </c>
      <c r="AC602" s="77">
        <f t="shared" si="753"/>
        <v>0</v>
      </c>
    </row>
    <row r="603" spans="1:29">
      <c r="A603" s="14"/>
      <c r="B603" s="17"/>
      <c r="C603" s="23"/>
      <c r="D603" s="102"/>
      <c r="F603" s="154"/>
      <c r="G603" s="72"/>
      <c r="H603" s="77"/>
      <c r="I603" s="77"/>
      <c r="J603" s="77"/>
      <c r="K603" s="51"/>
      <c r="L603" s="31"/>
      <c r="M603" s="77"/>
      <c r="N603" s="27"/>
      <c r="O603" s="31"/>
      <c r="P603" s="51"/>
      <c r="Q603" s="122"/>
      <c r="S603" s="51"/>
      <c r="T603" s="51"/>
    </row>
    <row r="604" spans="1:29">
      <c r="A604" s="6"/>
      <c r="B604" s="61" t="s">
        <v>105</v>
      </c>
      <c r="C604" s="23"/>
      <c r="D604" s="102"/>
      <c r="F604" s="154"/>
      <c r="G604" s="72"/>
      <c r="H604" s="74"/>
      <c r="I604" s="74"/>
      <c r="J604" s="74"/>
      <c r="K604" s="13"/>
      <c r="L604" s="31"/>
      <c r="M604" s="74"/>
      <c r="N604" s="27"/>
      <c r="O604" s="31"/>
      <c r="P604" s="13"/>
      <c r="Q604" s="122"/>
      <c r="S604" s="13"/>
      <c r="T604" s="13"/>
    </row>
    <row r="605" spans="1:29">
      <c r="A605" s="14">
        <v>360.2</v>
      </c>
      <c r="B605" s="15" t="s">
        <v>10</v>
      </c>
      <c r="C605" s="138" t="s">
        <v>175</v>
      </c>
      <c r="D605" s="102"/>
      <c r="E605" s="139" t="s">
        <v>209</v>
      </c>
      <c r="F605" s="155">
        <v>0</v>
      </c>
      <c r="G605" s="91">
        <f t="shared" ref="G605:G618" si="754">H605*F605/100</f>
        <v>0</v>
      </c>
      <c r="H605" s="74">
        <v>4393309.88</v>
      </c>
      <c r="I605" s="74">
        <v>1708200</v>
      </c>
      <c r="J605" s="74">
        <f t="shared" ref="J605:J618" si="755">H605-G605-I605</f>
        <v>2685109.88</v>
      </c>
      <c r="K605" s="13"/>
      <c r="L605" s="32"/>
      <c r="M605" s="74">
        <f t="shared" ref="M605:M618" si="756">J605/O605</f>
        <v>77829.271884057962</v>
      </c>
      <c r="N605" s="68">
        <f t="shared" ref="N605:N618" si="757">M605/H605</f>
        <v>1.7715406836737401E-2</v>
      </c>
      <c r="O605" s="32">
        <v>34.5</v>
      </c>
      <c r="P605" s="13">
        <v>77882</v>
      </c>
      <c r="Q605" s="119">
        <f t="shared" ref="Q605:Q618" si="758">M605-P605</f>
        <v>-52.72811594203813</v>
      </c>
      <c r="S605" s="13">
        <v>88625</v>
      </c>
      <c r="T605" s="13">
        <f t="shared" ref="T605:T618" si="759">M605-S605</f>
        <v>-10795.728115942038</v>
      </c>
      <c r="W605" s="124">
        <v>0</v>
      </c>
      <c r="Y605" s="79">
        <f t="shared" ref="Y605:Y618" si="760">P605*W605</f>
        <v>0</v>
      </c>
      <c r="Z605" s="79">
        <f t="shared" ref="Z605:Z618" si="761">P605*W605</f>
        <v>0</v>
      </c>
      <c r="AA605" s="79">
        <f t="shared" ref="AA605:AA618" si="762">Q605*W605</f>
        <v>0</v>
      </c>
      <c r="AB605" s="79">
        <f t="shared" ref="AB605:AB618" si="763">S605*W605</f>
        <v>0</v>
      </c>
      <c r="AC605" s="79">
        <f t="shared" ref="AC605:AC618" si="764">T605*W605</f>
        <v>0</v>
      </c>
    </row>
    <row r="606" spans="1:29">
      <c r="A606" s="14">
        <v>361</v>
      </c>
      <c r="B606" s="15" t="s">
        <v>162</v>
      </c>
      <c r="C606" s="138" t="s">
        <v>175</v>
      </c>
      <c r="D606" s="102"/>
      <c r="E606" s="139" t="s">
        <v>211</v>
      </c>
      <c r="F606" s="155">
        <v>-10</v>
      </c>
      <c r="G606" s="91">
        <f t="shared" si="754"/>
        <v>-944627.28200000001</v>
      </c>
      <c r="H606" s="74">
        <v>9446272.8200000003</v>
      </c>
      <c r="I606" s="74">
        <v>2497606</v>
      </c>
      <c r="J606" s="74">
        <f t="shared" si="755"/>
        <v>7893294.102</v>
      </c>
      <c r="K606" s="13"/>
      <c r="L606" s="32"/>
      <c r="M606" s="74">
        <f t="shared" si="756"/>
        <v>163761.28842323652</v>
      </c>
      <c r="N606" s="68">
        <f t="shared" si="757"/>
        <v>1.7336074401378184E-2</v>
      </c>
      <c r="O606" s="32">
        <v>48.2</v>
      </c>
      <c r="P606" s="13">
        <v>163832</v>
      </c>
      <c r="Q606" s="119">
        <f t="shared" si="758"/>
        <v>-70.711576763482299</v>
      </c>
      <c r="S606" s="13">
        <v>211734</v>
      </c>
      <c r="T606" s="13">
        <f t="shared" si="759"/>
        <v>-47972.711576763482</v>
      </c>
      <c r="W606" s="124">
        <v>0</v>
      </c>
      <c r="Y606" s="79">
        <f t="shared" si="760"/>
        <v>0</v>
      </c>
      <c r="Z606" s="79">
        <f t="shared" si="761"/>
        <v>0</v>
      </c>
      <c r="AA606" s="79">
        <f t="shared" si="762"/>
        <v>0</v>
      </c>
      <c r="AB606" s="79">
        <f t="shared" si="763"/>
        <v>0</v>
      </c>
      <c r="AC606" s="79">
        <f t="shared" si="764"/>
        <v>0</v>
      </c>
    </row>
    <row r="607" spans="1:29">
      <c r="A607" s="14">
        <v>362</v>
      </c>
      <c r="B607" s="15" t="s">
        <v>98</v>
      </c>
      <c r="C607" s="138" t="s">
        <v>175</v>
      </c>
      <c r="D607" s="102"/>
      <c r="E607" s="139" t="s">
        <v>220</v>
      </c>
      <c r="F607" s="155">
        <v>-10</v>
      </c>
      <c r="G607" s="91">
        <f t="shared" si="754"/>
        <v>-12146824.824999999</v>
      </c>
      <c r="H607" s="74">
        <v>121468248.25</v>
      </c>
      <c r="I607" s="74">
        <v>33135853</v>
      </c>
      <c r="J607" s="74">
        <f t="shared" si="755"/>
        <v>100479220.075</v>
      </c>
      <c r="K607" s="13"/>
      <c r="L607" s="32"/>
      <c r="M607" s="74">
        <f t="shared" si="756"/>
        <v>2299295.6538901599</v>
      </c>
      <c r="N607" s="68">
        <f t="shared" si="757"/>
        <v>1.8929190854533953E-2</v>
      </c>
      <c r="O607" s="32">
        <v>43.7</v>
      </c>
      <c r="P607" s="13">
        <v>2300395</v>
      </c>
      <c r="Q607" s="119">
        <f t="shared" si="758"/>
        <v>-1099.3461098400876</v>
      </c>
      <c r="S607" s="13">
        <v>2277096</v>
      </c>
      <c r="T607" s="13">
        <f t="shared" si="759"/>
        <v>22199.653890159912</v>
      </c>
      <c r="W607" s="124">
        <v>0</v>
      </c>
      <c r="Y607" s="79">
        <f t="shared" si="760"/>
        <v>0</v>
      </c>
      <c r="Z607" s="79">
        <f t="shared" si="761"/>
        <v>0</v>
      </c>
      <c r="AA607" s="79">
        <f t="shared" si="762"/>
        <v>0</v>
      </c>
      <c r="AB607" s="79">
        <f t="shared" si="763"/>
        <v>0</v>
      </c>
      <c r="AC607" s="79">
        <f t="shared" si="764"/>
        <v>0</v>
      </c>
    </row>
    <row r="608" spans="1:29">
      <c r="A608" s="14">
        <v>362.7</v>
      </c>
      <c r="B608" s="15" t="s">
        <v>14</v>
      </c>
      <c r="C608" s="138" t="s">
        <v>175</v>
      </c>
      <c r="D608" s="102"/>
      <c r="E608" s="139" t="s">
        <v>313</v>
      </c>
      <c r="F608" s="155">
        <v>0</v>
      </c>
      <c r="G608" s="91">
        <f t="shared" si="754"/>
        <v>0</v>
      </c>
      <c r="H608" s="74">
        <v>2032169.02</v>
      </c>
      <c r="I608" s="74">
        <v>1783797</v>
      </c>
      <c r="J608" s="74">
        <f t="shared" si="755"/>
        <v>248372.02000000002</v>
      </c>
      <c r="K608" s="13"/>
      <c r="L608" s="32"/>
      <c r="M608" s="74">
        <f t="shared" si="756"/>
        <v>29568.097619047621</v>
      </c>
      <c r="N608" s="68">
        <f t="shared" si="757"/>
        <v>1.45500188852636E-2</v>
      </c>
      <c r="O608" s="32">
        <v>8.4</v>
      </c>
      <c r="P608" s="13">
        <v>29630</v>
      </c>
      <c r="Q608" s="119">
        <f t="shared" si="758"/>
        <v>-61.902380952378735</v>
      </c>
      <c r="S608" s="13">
        <v>11289</v>
      </c>
      <c r="T608" s="13">
        <f t="shared" si="759"/>
        <v>18279.097619047621</v>
      </c>
      <c r="W608" s="124">
        <v>0</v>
      </c>
      <c r="Y608" s="79">
        <f t="shared" si="760"/>
        <v>0</v>
      </c>
      <c r="Z608" s="79">
        <f t="shared" si="761"/>
        <v>0</v>
      </c>
      <c r="AA608" s="79">
        <f t="shared" si="762"/>
        <v>0</v>
      </c>
      <c r="AB608" s="79">
        <f t="shared" si="763"/>
        <v>0</v>
      </c>
      <c r="AC608" s="79">
        <f t="shared" si="764"/>
        <v>0</v>
      </c>
    </row>
    <row r="609" spans="1:29">
      <c r="A609" s="14">
        <v>364</v>
      </c>
      <c r="B609" s="15" t="s">
        <v>171</v>
      </c>
      <c r="C609" s="138" t="s">
        <v>175</v>
      </c>
      <c r="D609" s="102"/>
      <c r="E609" s="139" t="s">
        <v>219</v>
      </c>
      <c r="F609" s="155">
        <v>-100</v>
      </c>
      <c r="G609" s="91">
        <f t="shared" si="754"/>
        <v>-120934818.95999999</v>
      </c>
      <c r="H609" s="74">
        <v>120934818.95999999</v>
      </c>
      <c r="I609" s="74">
        <v>60225010</v>
      </c>
      <c r="J609" s="74">
        <f t="shared" si="755"/>
        <v>181644627.91999999</v>
      </c>
      <c r="K609" s="13"/>
      <c r="L609" s="32"/>
      <c r="M609" s="74">
        <f t="shared" si="756"/>
        <v>4552496.9403508771</v>
      </c>
      <c r="N609" s="68">
        <f t="shared" si="757"/>
        <v>3.7644220080708488E-2</v>
      </c>
      <c r="O609" s="32">
        <v>39.9</v>
      </c>
      <c r="P609" s="13">
        <v>4552561</v>
      </c>
      <c r="Q609" s="119">
        <f t="shared" si="758"/>
        <v>-64.059649122878909</v>
      </c>
      <c r="S609" s="13">
        <v>5145464</v>
      </c>
      <c r="T609" s="13">
        <f t="shared" si="759"/>
        <v>-592967.05964912288</v>
      </c>
      <c r="W609" s="124">
        <v>0</v>
      </c>
      <c r="Y609" s="79">
        <f t="shared" si="760"/>
        <v>0</v>
      </c>
      <c r="Z609" s="79">
        <f t="shared" si="761"/>
        <v>0</v>
      </c>
      <c r="AA609" s="79">
        <f t="shared" si="762"/>
        <v>0</v>
      </c>
      <c r="AB609" s="79">
        <f t="shared" si="763"/>
        <v>0</v>
      </c>
      <c r="AC609" s="79">
        <f t="shared" si="764"/>
        <v>0</v>
      </c>
    </row>
    <row r="610" spans="1:29">
      <c r="A610" s="14">
        <v>365</v>
      </c>
      <c r="B610" s="15" t="s">
        <v>167</v>
      </c>
      <c r="C610" s="138" t="s">
        <v>175</v>
      </c>
      <c r="D610" s="102"/>
      <c r="E610" s="139" t="s">
        <v>314</v>
      </c>
      <c r="F610" s="155">
        <v>-40</v>
      </c>
      <c r="G610" s="91">
        <f t="shared" si="754"/>
        <v>-38084333.044</v>
      </c>
      <c r="H610" s="74">
        <v>95210832.609999999</v>
      </c>
      <c r="I610" s="74">
        <v>34076089</v>
      </c>
      <c r="J610" s="74">
        <f t="shared" si="755"/>
        <v>99219076.653999999</v>
      </c>
      <c r="K610" s="13"/>
      <c r="L610" s="32"/>
      <c r="M610" s="74">
        <f t="shared" si="756"/>
        <v>2214711.5324553573</v>
      </c>
      <c r="N610" s="68">
        <f t="shared" si="757"/>
        <v>2.3261129765845004E-2</v>
      </c>
      <c r="O610" s="32">
        <v>44.8</v>
      </c>
      <c r="P610" s="13">
        <v>2214103</v>
      </c>
      <c r="Q610" s="119">
        <f t="shared" si="758"/>
        <v>608.53245535725728</v>
      </c>
      <c r="S610" s="13">
        <v>2416729</v>
      </c>
      <c r="T610" s="13">
        <f t="shared" si="759"/>
        <v>-202017.46754464274</v>
      </c>
      <c r="W610" s="124">
        <v>0</v>
      </c>
      <c r="Y610" s="79">
        <f t="shared" si="760"/>
        <v>0</v>
      </c>
      <c r="Z610" s="79">
        <f t="shared" si="761"/>
        <v>0</v>
      </c>
      <c r="AA610" s="79">
        <f t="shared" si="762"/>
        <v>0</v>
      </c>
      <c r="AB610" s="79">
        <f t="shared" si="763"/>
        <v>0</v>
      </c>
      <c r="AC610" s="79">
        <f t="shared" si="764"/>
        <v>0</v>
      </c>
    </row>
    <row r="611" spans="1:29">
      <c r="A611" s="14">
        <v>366</v>
      </c>
      <c r="B611" s="15" t="s">
        <v>168</v>
      </c>
      <c r="C611" s="138" t="s">
        <v>175</v>
      </c>
      <c r="D611" s="102"/>
      <c r="E611" s="139" t="s">
        <v>221</v>
      </c>
      <c r="F611" s="155">
        <v>-40</v>
      </c>
      <c r="G611" s="91">
        <f t="shared" si="754"/>
        <v>-7459044.3200000003</v>
      </c>
      <c r="H611" s="74">
        <v>18647610.800000001</v>
      </c>
      <c r="I611" s="74">
        <v>8202461</v>
      </c>
      <c r="J611" s="74">
        <f t="shared" si="755"/>
        <v>17904194.120000001</v>
      </c>
      <c r="K611" s="13"/>
      <c r="L611" s="32"/>
      <c r="M611" s="74">
        <f t="shared" si="756"/>
        <v>570197.26496815297</v>
      </c>
      <c r="N611" s="68">
        <f t="shared" si="757"/>
        <v>3.0577497089769427E-2</v>
      </c>
      <c r="O611" s="32">
        <v>31.4</v>
      </c>
      <c r="P611" s="13">
        <v>570260</v>
      </c>
      <c r="Q611" s="119">
        <f t="shared" si="758"/>
        <v>-62.73503184702713</v>
      </c>
      <c r="S611" s="13">
        <v>688360</v>
      </c>
      <c r="T611" s="13">
        <f t="shared" si="759"/>
        <v>-118162.73503184703</v>
      </c>
      <c r="W611" s="124">
        <v>0</v>
      </c>
      <c r="Y611" s="79">
        <f t="shared" si="760"/>
        <v>0</v>
      </c>
      <c r="Z611" s="79">
        <f t="shared" si="761"/>
        <v>0</v>
      </c>
      <c r="AA611" s="79">
        <f t="shared" si="762"/>
        <v>0</v>
      </c>
      <c r="AB611" s="79">
        <f t="shared" si="763"/>
        <v>0</v>
      </c>
      <c r="AC611" s="79">
        <f t="shared" si="764"/>
        <v>0</v>
      </c>
    </row>
    <row r="612" spans="1:29">
      <c r="A612" s="14">
        <v>367</v>
      </c>
      <c r="B612" s="15" t="s">
        <v>169</v>
      </c>
      <c r="C612" s="138" t="s">
        <v>175</v>
      </c>
      <c r="D612" s="102"/>
      <c r="E612" s="139" t="s">
        <v>215</v>
      </c>
      <c r="F612" s="155">
        <v>-35</v>
      </c>
      <c r="G612" s="91">
        <f t="shared" si="754"/>
        <v>-17293061.282000002</v>
      </c>
      <c r="H612" s="74">
        <v>49408746.520000003</v>
      </c>
      <c r="I612" s="74">
        <v>25975827</v>
      </c>
      <c r="J612" s="74">
        <f t="shared" si="755"/>
        <v>40725980.802000001</v>
      </c>
      <c r="K612" s="13"/>
      <c r="L612" s="32"/>
      <c r="M612" s="74">
        <f t="shared" si="756"/>
        <v>1459712.5735483873</v>
      </c>
      <c r="N612" s="68">
        <f t="shared" si="757"/>
        <v>2.9543606676148221E-2</v>
      </c>
      <c r="O612" s="32">
        <v>27.9</v>
      </c>
      <c r="P612" s="13">
        <v>1461773</v>
      </c>
      <c r="Q612" s="119">
        <f t="shared" si="758"/>
        <v>-2060.4264516127296</v>
      </c>
      <c r="S612" s="13">
        <v>1651910</v>
      </c>
      <c r="T612" s="13">
        <f t="shared" si="759"/>
        <v>-192197.42645161273</v>
      </c>
      <c r="W612" s="124">
        <v>0</v>
      </c>
      <c r="Y612" s="79">
        <f t="shared" si="760"/>
        <v>0</v>
      </c>
      <c r="Z612" s="79">
        <f t="shared" si="761"/>
        <v>0</v>
      </c>
      <c r="AA612" s="79">
        <f t="shared" si="762"/>
        <v>0</v>
      </c>
      <c r="AB612" s="79">
        <f t="shared" si="763"/>
        <v>0</v>
      </c>
      <c r="AC612" s="79">
        <f t="shared" si="764"/>
        <v>0</v>
      </c>
    </row>
    <row r="613" spans="1:29">
      <c r="A613" s="14">
        <v>368</v>
      </c>
      <c r="B613" s="15" t="s">
        <v>101</v>
      </c>
      <c r="C613" s="138" t="s">
        <v>175</v>
      </c>
      <c r="D613" s="102"/>
      <c r="E613" s="139" t="s">
        <v>315</v>
      </c>
      <c r="F613" s="155">
        <v>-25</v>
      </c>
      <c r="G613" s="91">
        <f t="shared" si="754"/>
        <v>-24287760.02</v>
      </c>
      <c r="H613" s="74">
        <v>97151040.079999998</v>
      </c>
      <c r="I613" s="74">
        <v>36249423</v>
      </c>
      <c r="J613" s="74">
        <f t="shared" si="755"/>
        <v>85189377.099999994</v>
      </c>
      <c r="K613" s="13"/>
      <c r="L613" s="32"/>
      <c r="M613" s="74">
        <f t="shared" si="756"/>
        <v>2878019.4966216213</v>
      </c>
      <c r="N613" s="68">
        <f t="shared" si="757"/>
        <v>2.9624175863188777E-2</v>
      </c>
      <c r="O613" s="32">
        <v>29.6</v>
      </c>
      <c r="P613" s="13">
        <v>2880737</v>
      </c>
      <c r="Q613" s="119">
        <f t="shared" si="758"/>
        <v>-2717.503378378693</v>
      </c>
      <c r="S613" s="13">
        <v>3105505</v>
      </c>
      <c r="T613" s="13">
        <f t="shared" si="759"/>
        <v>-227485.50337837869</v>
      </c>
      <c r="W613" s="124">
        <v>0</v>
      </c>
      <c r="Y613" s="79">
        <f t="shared" si="760"/>
        <v>0</v>
      </c>
      <c r="Z613" s="79">
        <f t="shared" si="761"/>
        <v>0</v>
      </c>
      <c r="AA613" s="79">
        <f t="shared" si="762"/>
        <v>0</v>
      </c>
      <c r="AB613" s="79">
        <f t="shared" si="763"/>
        <v>0</v>
      </c>
      <c r="AC613" s="79">
        <f t="shared" si="764"/>
        <v>0</v>
      </c>
    </row>
    <row r="614" spans="1:29">
      <c r="A614" s="14">
        <v>369.1</v>
      </c>
      <c r="B614" s="15" t="s">
        <v>102</v>
      </c>
      <c r="C614" s="138" t="s">
        <v>175</v>
      </c>
      <c r="D614" s="102"/>
      <c r="E614" s="139" t="s">
        <v>214</v>
      </c>
      <c r="F614" s="155">
        <v>-25</v>
      </c>
      <c r="G614" s="91">
        <f t="shared" si="754"/>
        <v>-4034865.8925000001</v>
      </c>
      <c r="H614" s="74">
        <v>16139463.57</v>
      </c>
      <c r="I614" s="74">
        <v>4882881</v>
      </c>
      <c r="J614" s="74">
        <f t="shared" si="755"/>
        <v>15291448.462499999</v>
      </c>
      <c r="K614" s="13"/>
      <c r="L614" s="32"/>
      <c r="M614" s="74">
        <f t="shared" si="756"/>
        <v>317909.53144490643</v>
      </c>
      <c r="N614" s="68">
        <f t="shared" si="757"/>
        <v>1.9697651663952202E-2</v>
      </c>
      <c r="O614" s="32">
        <v>48.1</v>
      </c>
      <c r="P614" s="13">
        <v>317748</v>
      </c>
      <c r="Q614" s="119">
        <f t="shared" si="758"/>
        <v>161.53144490643172</v>
      </c>
      <c r="S614" s="13">
        <v>329037</v>
      </c>
      <c r="T614" s="13">
        <f t="shared" si="759"/>
        <v>-11127.468555093568</v>
      </c>
      <c r="W614" s="124">
        <v>0</v>
      </c>
      <c r="Y614" s="79">
        <f t="shared" si="760"/>
        <v>0</v>
      </c>
      <c r="Z614" s="79">
        <f t="shared" si="761"/>
        <v>0</v>
      </c>
      <c r="AA614" s="79">
        <f t="shared" si="762"/>
        <v>0</v>
      </c>
      <c r="AB614" s="79">
        <f t="shared" si="763"/>
        <v>0</v>
      </c>
      <c r="AC614" s="79">
        <f t="shared" si="764"/>
        <v>0</v>
      </c>
    </row>
    <row r="615" spans="1:29">
      <c r="A615" s="14">
        <v>369.2</v>
      </c>
      <c r="B615" s="15" t="s">
        <v>103</v>
      </c>
      <c r="C615" s="138" t="s">
        <v>175</v>
      </c>
      <c r="D615" s="102"/>
      <c r="E615" s="139" t="s">
        <v>213</v>
      </c>
      <c r="F615" s="155">
        <v>-50</v>
      </c>
      <c r="G615" s="91">
        <f t="shared" si="754"/>
        <v>-16656087.785</v>
      </c>
      <c r="H615" s="74">
        <v>33312175.57</v>
      </c>
      <c r="I615" s="74">
        <v>10973040</v>
      </c>
      <c r="J615" s="74">
        <f t="shared" si="755"/>
        <v>38995223.355000004</v>
      </c>
      <c r="K615" s="13"/>
      <c r="L615" s="32"/>
      <c r="M615" s="74">
        <f t="shared" si="756"/>
        <v>862726.18042035401</v>
      </c>
      <c r="N615" s="68">
        <f t="shared" si="757"/>
        <v>2.5898223867350793E-2</v>
      </c>
      <c r="O615" s="32">
        <v>45.2</v>
      </c>
      <c r="P615" s="13">
        <v>863178</v>
      </c>
      <c r="Q615" s="119">
        <f t="shared" si="758"/>
        <v>-451.81957964599133</v>
      </c>
      <c r="S615" s="13">
        <v>1258829</v>
      </c>
      <c r="T615" s="13">
        <f t="shared" si="759"/>
        <v>-396102.81957964599</v>
      </c>
      <c r="W615" s="124">
        <v>0</v>
      </c>
      <c r="Y615" s="79">
        <f t="shared" si="760"/>
        <v>0</v>
      </c>
      <c r="Z615" s="79">
        <f t="shared" si="761"/>
        <v>0</v>
      </c>
      <c r="AA615" s="79">
        <f t="shared" si="762"/>
        <v>0</v>
      </c>
      <c r="AB615" s="79">
        <f t="shared" si="763"/>
        <v>0</v>
      </c>
      <c r="AC615" s="79">
        <f t="shared" si="764"/>
        <v>0</v>
      </c>
    </row>
    <row r="616" spans="1:29">
      <c r="A616" s="14">
        <v>370</v>
      </c>
      <c r="B616" s="15" t="s">
        <v>113</v>
      </c>
      <c r="C616" s="138" t="s">
        <v>175</v>
      </c>
      <c r="D616" s="102"/>
      <c r="E616" s="139" t="s">
        <v>311</v>
      </c>
      <c r="F616" s="155">
        <v>-2</v>
      </c>
      <c r="G616" s="91">
        <f t="shared" si="754"/>
        <v>-281396.77980000002</v>
      </c>
      <c r="H616" s="74">
        <v>14069838.99</v>
      </c>
      <c r="I616" s="74">
        <v>2264696</v>
      </c>
      <c r="J616" s="74">
        <f t="shared" si="755"/>
        <v>12086539.7698</v>
      </c>
      <c r="K616" s="13"/>
      <c r="L616" s="32"/>
      <c r="M616" s="74">
        <f t="shared" si="756"/>
        <v>534802.64468141587</v>
      </c>
      <c r="N616" s="68">
        <f t="shared" si="757"/>
        <v>3.8010573188614422E-2</v>
      </c>
      <c r="O616" s="32">
        <v>22.6</v>
      </c>
      <c r="P616" s="13">
        <v>535344</v>
      </c>
      <c r="Q616" s="119">
        <f t="shared" si="758"/>
        <v>-541.35531858413015</v>
      </c>
      <c r="S616" s="13">
        <v>562817</v>
      </c>
      <c r="T616" s="13">
        <f t="shared" si="759"/>
        <v>-28014.35531858413</v>
      </c>
      <c r="W616" s="124">
        <v>0</v>
      </c>
      <c r="Y616" s="79">
        <f t="shared" si="760"/>
        <v>0</v>
      </c>
      <c r="Z616" s="79">
        <f t="shared" si="761"/>
        <v>0</v>
      </c>
      <c r="AA616" s="79">
        <f t="shared" si="762"/>
        <v>0</v>
      </c>
      <c r="AB616" s="79">
        <f t="shared" si="763"/>
        <v>0</v>
      </c>
      <c r="AC616" s="79">
        <f t="shared" si="764"/>
        <v>0</v>
      </c>
    </row>
    <row r="617" spans="1:29">
      <c r="A617" s="14">
        <v>371</v>
      </c>
      <c r="B617" s="15" t="s">
        <v>172</v>
      </c>
      <c r="C617" s="138"/>
      <c r="D617" s="102"/>
      <c r="E617" s="139" t="s">
        <v>316</v>
      </c>
      <c r="F617" s="155">
        <v>-60</v>
      </c>
      <c r="G617" s="91">
        <f t="shared" si="754"/>
        <v>-558855.34199999995</v>
      </c>
      <c r="H617" s="74">
        <v>931425.57</v>
      </c>
      <c r="I617" s="74">
        <v>892328</v>
      </c>
      <c r="J617" s="74">
        <f t="shared" si="755"/>
        <v>597952.91200000001</v>
      </c>
      <c r="K617" s="13"/>
      <c r="L617" s="32"/>
      <c r="M617" s="74">
        <f t="shared" si="756"/>
        <v>40955.678904109591</v>
      </c>
      <c r="N617" s="68">
        <f t="shared" si="757"/>
        <v>4.3970962601026287E-2</v>
      </c>
      <c r="O617" s="32">
        <v>14.6</v>
      </c>
      <c r="P617" s="13">
        <v>40927</v>
      </c>
      <c r="Q617" s="119">
        <f t="shared" si="758"/>
        <v>28.678904109590803</v>
      </c>
      <c r="S617" s="13">
        <v>36873</v>
      </c>
      <c r="T617" s="13">
        <f t="shared" si="759"/>
        <v>4082.6789041095908</v>
      </c>
      <c r="W617" s="124">
        <v>0</v>
      </c>
      <c r="Y617" s="79">
        <f t="shared" si="760"/>
        <v>0</v>
      </c>
      <c r="Z617" s="79">
        <f t="shared" si="761"/>
        <v>0</v>
      </c>
      <c r="AA617" s="79">
        <f t="shared" si="762"/>
        <v>0</v>
      </c>
      <c r="AB617" s="79">
        <f t="shared" si="763"/>
        <v>0</v>
      </c>
      <c r="AC617" s="79">
        <f t="shared" si="764"/>
        <v>0</v>
      </c>
    </row>
    <row r="618" spans="1:29">
      <c r="A618" s="14">
        <v>373</v>
      </c>
      <c r="B618" s="15" t="s">
        <v>173</v>
      </c>
      <c r="C618" s="138"/>
      <c r="D618" s="102"/>
      <c r="E618" s="139" t="s">
        <v>222</v>
      </c>
      <c r="F618" s="155">
        <v>-45</v>
      </c>
      <c r="G618" s="91">
        <f t="shared" si="754"/>
        <v>-4468107.6854999997</v>
      </c>
      <c r="H618" s="74">
        <v>9929128.1899999995</v>
      </c>
      <c r="I618" s="74">
        <v>3541658</v>
      </c>
      <c r="J618" s="74">
        <f t="shared" si="755"/>
        <v>10855577.875499999</v>
      </c>
      <c r="K618" s="13"/>
      <c r="L618" s="32"/>
      <c r="M618" s="74">
        <f t="shared" si="756"/>
        <v>272753.21295226132</v>
      </c>
      <c r="N618" s="68">
        <f t="shared" si="757"/>
        <v>2.7470006201245484E-2</v>
      </c>
      <c r="O618" s="32">
        <v>39.799999999999997</v>
      </c>
      <c r="P618" s="13">
        <v>273021</v>
      </c>
      <c r="Q618" s="119">
        <f t="shared" si="758"/>
        <v>-267.78704773867503</v>
      </c>
      <c r="S618" s="13">
        <v>277856</v>
      </c>
      <c r="T618" s="13">
        <f t="shared" si="759"/>
        <v>-5102.787047738675</v>
      </c>
      <c r="W618" s="124">
        <v>0</v>
      </c>
      <c r="Y618" s="79">
        <f t="shared" si="760"/>
        <v>0</v>
      </c>
      <c r="Z618" s="79">
        <f t="shared" si="761"/>
        <v>0</v>
      </c>
      <c r="AA618" s="79">
        <f t="shared" si="762"/>
        <v>0</v>
      </c>
      <c r="AB618" s="79">
        <f t="shared" si="763"/>
        <v>0</v>
      </c>
      <c r="AC618" s="79">
        <f t="shared" si="764"/>
        <v>0</v>
      </c>
    </row>
    <row r="619" spans="1:29">
      <c r="A619" s="6"/>
      <c r="B619" s="48" t="s">
        <v>108</v>
      </c>
      <c r="C619" s="23"/>
      <c r="D619" s="102"/>
      <c r="F619" s="154"/>
      <c r="G619" s="72"/>
      <c r="H619" s="83">
        <f>+SUBTOTAL(9,H605:H618)</f>
        <v>593075080.83000016</v>
      </c>
      <c r="I619" s="83">
        <f>+SUBTOTAL(9,I605:I618)</f>
        <v>226408869</v>
      </c>
      <c r="J619" s="83">
        <f>+SUBTOTAL(9,J605:J618)</f>
        <v>613815995.04779983</v>
      </c>
      <c r="K619" s="51"/>
      <c r="L619" s="31"/>
      <c r="M619" s="83">
        <f>+SUBTOTAL(9,M605:M618)</f>
        <v>16274739.368163947</v>
      </c>
      <c r="N619" s="27">
        <f>+ROUND(M619/H619*100,2)</f>
        <v>2.74</v>
      </c>
      <c r="O619" s="31"/>
      <c r="P619" s="106">
        <f>+SUBTOTAL(9,P605:P618)</f>
        <v>16281391</v>
      </c>
      <c r="Q619" s="109">
        <f>+SUBTOTAL(9,Q605:Q618)</f>
        <v>-6651.6318360548321</v>
      </c>
      <c r="S619" s="106">
        <f>+SUBTOTAL(9,S605:S618)</f>
        <v>18062124</v>
      </c>
      <c r="T619" s="106">
        <f>+SUBTOTAL(9,T605:T618)</f>
        <v>-1787384.6318360548</v>
      </c>
      <c r="Y619" s="83">
        <f t="shared" ref="Y619:AC619" si="765">+SUBTOTAL(9,Y605:Y618)</f>
        <v>0</v>
      </c>
      <c r="Z619" s="83">
        <f t="shared" si="765"/>
        <v>0</v>
      </c>
      <c r="AA619" s="83">
        <f t="shared" si="765"/>
        <v>0</v>
      </c>
      <c r="AB619" s="83">
        <f t="shared" si="765"/>
        <v>0</v>
      </c>
      <c r="AC619" s="83">
        <f t="shared" si="765"/>
        <v>0</v>
      </c>
    </row>
    <row r="620" spans="1:29">
      <c r="A620" s="14"/>
      <c r="B620" s="17"/>
      <c r="C620" s="23"/>
      <c r="D620" s="102"/>
      <c r="F620" s="154"/>
      <c r="G620" s="72"/>
      <c r="H620" s="74"/>
      <c r="I620" s="74"/>
      <c r="J620" s="74"/>
      <c r="K620" s="13"/>
      <c r="L620" s="31"/>
      <c r="M620" s="74"/>
      <c r="N620" s="27"/>
      <c r="O620" s="31"/>
      <c r="P620" s="13"/>
      <c r="Q620" s="122"/>
      <c r="S620" s="13"/>
      <c r="T620" s="13"/>
    </row>
    <row r="621" spans="1:29">
      <c r="A621" s="6"/>
      <c r="B621" s="61" t="s">
        <v>109</v>
      </c>
      <c r="C621" s="23"/>
      <c r="D621" s="102"/>
      <c r="F621" s="154"/>
      <c r="G621" s="72"/>
      <c r="H621" s="74"/>
      <c r="I621" s="74"/>
      <c r="J621" s="74"/>
      <c r="K621" s="13"/>
      <c r="L621" s="31"/>
      <c r="M621" s="74"/>
      <c r="N621" s="27"/>
      <c r="O621" s="31"/>
      <c r="P621" s="13"/>
      <c r="Q621" s="122"/>
      <c r="S621" s="13"/>
      <c r="T621" s="13"/>
    </row>
    <row r="622" spans="1:29">
      <c r="A622" s="14">
        <v>360.2</v>
      </c>
      <c r="B622" s="15" t="s">
        <v>10</v>
      </c>
      <c r="C622" s="138" t="s">
        <v>175</v>
      </c>
      <c r="D622" s="102"/>
      <c r="E622" s="139" t="s">
        <v>207</v>
      </c>
      <c r="F622" s="155">
        <v>0</v>
      </c>
      <c r="G622" s="91">
        <f t="shared" ref="G622:G635" si="766">H622*F622/100</f>
        <v>0</v>
      </c>
      <c r="H622" s="74">
        <v>957954.51</v>
      </c>
      <c r="I622" s="74">
        <v>675373</v>
      </c>
      <c r="J622" s="74">
        <f t="shared" ref="J622:J635" si="767">H622-G622-I622</f>
        <v>282581.51</v>
      </c>
      <c r="K622" s="13"/>
      <c r="L622" s="32"/>
      <c r="M622" s="74">
        <f>J622/O622</f>
        <v>10910.483011583012</v>
      </c>
      <c r="N622" s="68">
        <f t="shared" ref="N622:N624" si="768">M622/H622</f>
        <v>1.1389353980475556E-2</v>
      </c>
      <c r="O622" s="32">
        <v>25.9</v>
      </c>
      <c r="P622" s="13">
        <v>10928</v>
      </c>
      <c r="Q622" s="119">
        <f t="shared" ref="Q622:Q635" si="769">M622-P622</f>
        <v>-17.51698841698817</v>
      </c>
      <c r="S622" s="13">
        <v>9991</v>
      </c>
      <c r="T622" s="13">
        <f t="shared" ref="T622:T635" si="770">M622-S622</f>
        <v>919.48301158301183</v>
      </c>
      <c r="W622" s="124">
        <v>0</v>
      </c>
      <c r="Y622" s="79">
        <f t="shared" ref="Y622:Y635" si="771">P622*W622</f>
        <v>0</v>
      </c>
      <c r="Z622" s="79">
        <f t="shared" ref="Z622:Z635" si="772">P622*W622</f>
        <v>0</v>
      </c>
      <c r="AA622" s="79">
        <f t="shared" ref="AA622:AA635" si="773">Q622*W622</f>
        <v>0</v>
      </c>
      <c r="AB622" s="79">
        <f t="shared" ref="AB622:AB635" si="774">S622*W622</f>
        <v>0</v>
      </c>
      <c r="AC622" s="79">
        <f t="shared" ref="AC622:AC635" si="775">T622*W622</f>
        <v>0</v>
      </c>
    </row>
    <row r="623" spans="1:29">
      <c r="A623" s="14">
        <v>361</v>
      </c>
      <c r="B623" s="15" t="s">
        <v>162</v>
      </c>
      <c r="C623" s="138" t="s">
        <v>175</v>
      </c>
      <c r="D623" s="102"/>
      <c r="E623" s="139" t="s">
        <v>317</v>
      </c>
      <c r="F623" s="155">
        <v>-5</v>
      </c>
      <c r="G623" s="91">
        <f t="shared" si="766"/>
        <v>-202268.05399999997</v>
      </c>
      <c r="H623" s="74">
        <v>4045361.08</v>
      </c>
      <c r="I623" s="74">
        <v>745155</v>
      </c>
      <c r="J623" s="74">
        <f t="shared" si="767"/>
        <v>3502474.1339999996</v>
      </c>
      <c r="K623" s="13"/>
      <c r="L623" s="32"/>
      <c r="M623" s="74">
        <f>J623/O623</f>
        <v>74679.619061833684</v>
      </c>
      <c r="N623" s="68">
        <f t="shared" si="768"/>
        <v>1.846055706400223E-2</v>
      </c>
      <c r="O623" s="32">
        <v>46.9</v>
      </c>
      <c r="P623" s="13">
        <v>74758</v>
      </c>
      <c r="Q623" s="119">
        <f t="shared" si="769"/>
        <v>-78.3809381663159</v>
      </c>
      <c r="S623" s="13">
        <v>75094</v>
      </c>
      <c r="T623" s="13">
        <f t="shared" si="770"/>
        <v>-414.3809381663159</v>
      </c>
      <c r="W623" s="124">
        <v>0</v>
      </c>
      <c r="Y623" s="79">
        <f t="shared" si="771"/>
        <v>0</v>
      </c>
      <c r="Z623" s="79">
        <f t="shared" si="772"/>
        <v>0</v>
      </c>
      <c r="AA623" s="79">
        <f t="shared" si="773"/>
        <v>0</v>
      </c>
      <c r="AB623" s="79">
        <f t="shared" si="774"/>
        <v>0</v>
      </c>
      <c r="AC623" s="79">
        <f t="shared" si="775"/>
        <v>0</v>
      </c>
    </row>
    <row r="624" spans="1:29">
      <c r="A624" s="14">
        <v>362</v>
      </c>
      <c r="B624" s="15" t="s">
        <v>98</v>
      </c>
      <c r="C624" s="138" t="s">
        <v>175</v>
      </c>
      <c r="D624" s="102"/>
      <c r="E624" s="139" t="s">
        <v>219</v>
      </c>
      <c r="F624" s="155">
        <v>-25</v>
      </c>
      <c r="G624" s="91">
        <f t="shared" si="766"/>
        <v>-5495676.1174999997</v>
      </c>
      <c r="H624" s="74">
        <v>21982704.469999999</v>
      </c>
      <c r="I624" s="74">
        <v>6095417</v>
      </c>
      <c r="J624" s="74">
        <f t="shared" si="767"/>
        <v>21382963.587499999</v>
      </c>
      <c r="K624" s="13"/>
      <c r="L624" s="32"/>
      <c r="M624" s="74">
        <f>J624/O624</f>
        <v>525379.94072481571</v>
      </c>
      <c r="N624" s="68">
        <f t="shared" si="768"/>
        <v>2.3899695391975388E-2</v>
      </c>
      <c r="O624" s="32">
        <v>40.700000000000003</v>
      </c>
      <c r="P624" s="13">
        <v>525501</v>
      </c>
      <c r="Q624" s="119">
        <f t="shared" si="769"/>
        <v>-121.05927518429235</v>
      </c>
      <c r="S624" s="13">
        <v>545430</v>
      </c>
      <c r="T624" s="13">
        <f t="shared" si="770"/>
        <v>-20050.059275184292</v>
      </c>
      <c r="W624" s="124">
        <v>0</v>
      </c>
      <c r="Y624" s="79">
        <f t="shared" si="771"/>
        <v>0</v>
      </c>
      <c r="Z624" s="79">
        <f t="shared" si="772"/>
        <v>0</v>
      </c>
      <c r="AA624" s="79">
        <f t="shared" si="773"/>
        <v>0</v>
      </c>
      <c r="AB624" s="79">
        <f t="shared" si="774"/>
        <v>0</v>
      </c>
      <c r="AC624" s="79">
        <f t="shared" si="775"/>
        <v>0</v>
      </c>
    </row>
    <row r="625" spans="1:29">
      <c r="A625" s="14">
        <v>362.7</v>
      </c>
      <c r="B625" s="15" t="s">
        <v>14</v>
      </c>
      <c r="C625" s="138" t="s">
        <v>175</v>
      </c>
      <c r="D625" s="102"/>
      <c r="E625" s="139" t="s">
        <v>223</v>
      </c>
      <c r="F625" s="155">
        <v>0</v>
      </c>
      <c r="G625" s="91">
        <f t="shared" si="766"/>
        <v>0</v>
      </c>
      <c r="H625" s="74">
        <v>217010.27</v>
      </c>
      <c r="I625" s="74">
        <v>217010</v>
      </c>
      <c r="J625" s="74">
        <f t="shared" si="767"/>
        <v>0.26999999998952262</v>
      </c>
      <c r="K625" s="13"/>
      <c r="L625" s="32"/>
      <c r="M625" s="74">
        <v>0</v>
      </c>
      <c r="N625" s="28">
        <v>0</v>
      </c>
      <c r="O625" s="32">
        <v>0</v>
      </c>
      <c r="P625" s="13">
        <v>0</v>
      </c>
      <c r="Q625" s="119">
        <f t="shared" si="769"/>
        <v>0</v>
      </c>
      <c r="S625" s="13">
        <v>0</v>
      </c>
      <c r="T625" s="13">
        <f t="shared" si="770"/>
        <v>0</v>
      </c>
      <c r="W625" s="124">
        <v>0</v>
      </c>
      <c r="Y625" s="79">
        <f t="shared" si="771"/>
        <v>0</v>
      </c>
      <c r="Z625" s="79">
        <f t="shared" si="772"/>
        <v>0</v>
      </c>
      <c r="AA625" s="79">
        <f t="shared" si="773"/>
        <v>0</v>
      </c>
      <c r="AB625" s="79">
        <f t="shared" si="774"/>
        <v>0</v>
      </c>
      <c r="AC625" s="79">
        <f t="shared" si="775"/>
        <v>0</v>
      </c>
    </row>
    <row r="626" spans="1:29">
      <c r="A626" s="14">
        <v>364</v>
      </c>
      <c r="B626" s="15" t="s">
        <v>171</v>
      </c>
      <c r="C626" s="138" t="s">
        <v>175</v>
      </c>
      <c r="D626" s="102"/>
      <c r="E626" s="139" t="s">
        <v>220</v>
      </c>
      <c r="F626" s="155">
        <v>-100</v>
      </c>
      <c r="G626" s="91">
        <f t="shared" si="766"/>
        <v>-56507875.689999998</v>
      </c>
      <c r="H626" s="74">
        <v>56507875.689999998</v>
      </c>
      <c r="I626" s="74">
        <v>26706562</v>
      </c>
      <c r="J626" s="74">
        <f t="shared" si="767"/>
        <v>86309189.379999995</v>
      </c>
      <c r="K626" s="13"/>
      <c r="L626" s="32"/>
      <c r="M626" s="74">
        <f t="shared" ref="M626:M635" si="776">J626/O626</f>
        <v>1975038.6585812354</v>
      </c>
      <c r="N626" s="68">
        <f t="shared" ref="N626:N635" si="777">M626/H626</f>
        <v>3.4951564440613918E-2</v>
      </c>
      <c r="O626" s="32">
        <v>43.7</v>
      </c>
      <c r="P626" s="13">
        <v>1973381</v>
      </c>
      <c r="Q626" s="119">
        <f t="shared" si="769"/>
        <v>1657.658581235446</v>
      </c>
      <c r="S626" s="13">
        <v>2071960</v>
      </c>
      <c r="T626" s="13">
        <f t="shared" si="770"/>
        <v>-96921.341418764554</v>
      </c>
      <c r="W626" s="124">
        <v>0</v>
      </c>
      <c r="Y626" s="79">
        <f t="shared" si="771"/>
        <v>0</v>
      </c>
      <c r="Z626" s="79">
        <f t="shared" si="772"/>
        <v>0</v>
      </c>
      <c r="AA626" s="79">
        <f t="shared" si="773"/>
        <v>0</v>
      </c>
      <c r="AB626" s="79">
        <f t="shared" si="774"/>
        <v>0</v>
      </c>
      <c r="AC626" s="79">
        <f t="shared" si="775"/>
        <v>0</v>
      </c>
    </row>
    <row r="627" spans="1:29">
      <c r="A627" s="14">
        <v>365</v>
      </c>
      <c r="B627" s="15" t="s">
        <v>167</v>
      </c>
      <c r="C627" s="138"/>
      <c r="D627" s="102"/>
      <c r="E627" s="139" t="s">
        <v>318</v>
      </c>
      <c r="F627" s="155">
        <v>-70</v>
      </c>
      <c r="G627" s="91">
        <f t="shared" si="766"/>
        <v>-22774569.559</v>
      </c>
      <c r="H627" s="74">
        <v>32535099.370000001</v>
      </c>
      <c r="I627" s="74">
        <v>16631695</v>
      </c>
      <c r="J627" s="74">
        <f t="shared" si="767"/>
        <v>38677973.929000005</v>
      </c>
      <c r="K627" s="13"/>
      <c r="L627" s="32"/>
      <c r="M627" s="74">
        <f t="shared" si="776"/>
        <v>809162.63449790806</v>
      </c>
      <c r="N627" s="68">
        <f t="shared" si="777"/>
        <v>2.4870452224406654E-2</v>
      </c>
      <c r="O627" s="32">
        <v>47.8</v>
      </c>
      <c r="P627" s="13">
        <v>808765</v>
      </c>
      <c r="Q627" s="119">
        <f t="shared" si="769"/>
        <v>397.63449790806044</v>
      </c>
      <c r="S627" s="13">
        <v>867899</v>
      </c>
      <c r="T627" s="13">
        <f t="shared" si="770"/>
        <v>-58736.36550209194</v>
      </c>
      <c r="W627" s="124">
        <v>0</v>
      </c>
      <c r="Y627" s="79">
        <f t="shared" si="771"/>
        <v>0</v>
      </c>
      <c r="Z627" s="79">
        <f t="shared" si="772"/>
        <v>0</v>
      </c>
      <c r="AA627" s="79">
        <f t="shared" si="773"/>
        <v>0</v>
      </c>
      <c r="AB627" s="79">
        <f t="shared" si="774"/>
        <v>0</v>
      </c>
      <c r="AC627" s="79">
        <f t="shared" si="775"/>
        <v>0</v>
      </c>
    </row>
    <row r="628" spans="1:29">
      <c r="A628" s="14">
        <v>366</v>
      </c>
      <c r="B628" s="15" t="s">
        <v>168</v>
      </c>
      <c r="C628" s="138" t="s">
        <v>175</v>
      </c>
      <c r="D628" s="102"/>
      <c r="E628" s="139" t="s">
        <v>213</v>
      </c>
      <c r="F628" s="155">
        <v>-45</v>
      </c>
      <c r="G628" s="91">
        <f t="shared" si="766"/>
        <v>-7062324.7229999993</v>
      </c>
      <c r="H628" s="74">
        <v>15694054.939999999</v>
      </c>
      <c r="I628" s="74">
        <v>8629012</v>
      </c>
      <c r="J628" s="74">
        <f t="shared" si="767"/>
        <v>14127367.662999999</v>
      </c>
      <c r="K628" s="13"/>
      <c r="L628" s="32"/>
      <c r="M628" s="74">
        <f t="shared" si="776"/>
        <v>384941.89817438688</v>
      </c>
      <c r="N628" s="68">
        <f t="shared" si="777"/>
        <v>2.4527880120597239E-2</v>
      </c>
      <c r="O628" s="32">
        <v>36.700000000000003</v>
      </c>
      <c r="P628" s="13">
        <v>385339</v>
      </c>
      <c r="Q628" s="119">
        <f t="shared" si="769"/>
        <v>-397.10182561312104</v>
      </c>
      <c r="S628" s="13">
        <v>399984</v>
      </c>
      <c r="T628" s="13">
        <f t="shared" si="770"/>
        <v>-15042.101825613121</v>
      </c>
      <c r="W628" s="124">
        <v>0</v>
      </c>
      <c r="Y628" s="79">
        <f t="shared" si="771"/>
        <v>0</v>
      </c>
      <c r="Z628" s="79">
        <f t="shared" si="772"/>
        <v>0</v>
      </c>
      <c r="AA628" s="79">
        <f t="shared" si="773"/>
        <v>0</v>
      </c>
      <c r="AB628" s="79">
        <f t="shared" si="774"/>
        <v>0</v>
      </c>
      <c r="AC628" s="79">
        <f t="shared" si="775"/>
        <v>0</v>
      </c>
    </row>
    <row r="629" spans="1:29">
      <c r="A629" s="14">
        <v>367</v>
      </c>
      <c r="B629" s="15" t="s">
        <v>169</v>
      </c>
      <c r="C629" s="138"/>
      <c r="D629" s="102"/>
      <c r="E629" s="139" t="s">
        <v>241</v>
      </c>
      <c r="F629" s="155">
        <v>-35</v>
      </c>
      <c r="G629" s="91">
        <f t="shared" si="766"/>
        <v>-5959438.6040000012</v>
      </c>
      <c r="H629" s="74">
        <v>17026967.440000001</v>
      </c>
      <c r="I629" s="74">
        <v>9081730</v>
      </c>
      <c r="J629" s="74">
        <f t="shared" si="767"/>
        <v>13904676.044000003</v>
      </c>
      <c r="K629" s="13"/>
      <c r="L629" s="32"/>
      <c r="M629" s="74">
        <f t="shared" si="776"/>
        <v>423923.05012195138</v>
      </c>
      <c r="N629" s="68">
        <f t="shared" si="777"/>
        <v>2.4897155152012868E-2</v>
      </c>
      <c r="O629" s="32">
        <v>32.799999999999997</v>
      </c>
      <c r="P629" s="13">
        <v>424544</v>
      </c>
      <c r="Q629" s="119">
        <f t="shared" si="769"/>
        <v>-620.94987804861739</v>
      </c>
      <c r="S629" s="13">
        <v>440566</v>
      </c>
      <c r="T629" s="13">
        <f t="shared" si="770"/>
        <v>-16642.949878048617</v>
      </c>
      <c r="W629" s="124">
        <v>0</v>
      </c>
      <c r="Y629" s="79">
        <f t="shared" si="771"/>
        <v>0</v>
      </c>
      <c r="Z629" s="79">
        <f t="shared" si="772"/>
        <v>0</v>
      </c>
      <c r="AA629" s="79">
        <f t="shared" si="773"/>
        <v>0</v>
      </c>
      <c r="AB629" s="79">
        <f t="shared" si="774"/>
        <v>0</v>
      </c>
      <c r="AC629" s="79">
        <f t="shared" si="775"/>
        <v>0</v>
      </c>
    </row>
    <row r="630" spans="1:29">
      <c r="A630" s="14">
        <v>368</v>
      </c>
      <c r="B630" s="15" t="s">
        <v>101</v>
      </c>
      <c r="C630" s="138"/>
      <c r="D630" s="102"/>
      <c r="E630" s="139" t="s">
        <v>218</v>
      </c>
      <c r="F630" s="155">
        <v>-35</v>
      </c>
      <c r="G630" s="91">
        <f t="shared" si="766"/>
        <v>-16827147.508500002</v>
      </c>
      <c r="H630" s="74">
        <v>48077564.310000002</v>
      </c>
      <c r="I630" s="74">
        <v>21352124</v>
      </c>
      <c r="J630" s="74">
        <f t="shared" si="767"/>
        <v>43552587.818500005</v>
      </c>
      <c r="K630" s="13"/>
      <c r="L630" s="32"/>
      <c r="M630" s="74">
        <f t="shared" si="776"/>
        <v>1105395.6299111678</v>
      </c>
      <c r="N630" s="68">
        <f t="shared" si="777"/>
        <v>2.2991922443983886E-2</v>
      </c>
      <c r="O630" s="32">
        <v>39.4</v>
      </c>
      <c r="P630" s="13">
        <v>1106579</v>
      </c>
      <c r="Q630" s="119">
        <f t="shared" si="769"/>
        <v>-1183.3700888322201</v>
      </c>
      <c r="S630" s="13">
        <v>1106146</v>
      </c>
      <c r="T630" s="13">
        <f t="shared" si="770"/>
        <v>-750.37008883222006</v>
      </c>
      <c r="W630" s="124">
        <v>0</v>
      </c>
      <c r="Y630" s="79">
        <f t="shared" si="771"/>
        <v>0</v>
      </c>
      <c r="Z630" s="79">
        <f t="shared" si="772"/>
        <v>0</v>
      </c>
      <c r="AA630" s="79">
        <f t="shared" si="773"/>
        <v>0</v>
      </c>
      <c r="AB630" s="79">
        <f t="shared" si="774"/>
        <v>0</v>
      </c>
      <c r="AC630" s="79">
        <f t="shared" si="775"/>
        <v>0</v>
      </c>
    </row>
    <row r="631" spans="1:29">
      <c r="A631" s="14">
        <v>369.1</v>
      </c>
      <c r="B631" s="15" t="s">
        <v>102</v>
      </c>
      <c r="C631" s="138" t="s">
        <v>175</v>
      </c>
      <c r="D631" s="102"/>
      <c r="E631" s="139" t="s">
        <v>220</v>
      </c>
      <c r="F631" s="155">
        <v>-30</v>
      </c>
      <c r="G631" s="91">
        <f t="shared" si="766"/>
        <v>-2576308.2359999996</v>
      </c>
      <c r="H631" s="74">
        <v>8587694.1199999992</v>
      </c>
      <c r="I631" s="74">
        <v>2745116</v>
      </c>
      <c r="J631" s="74">
        <f t="shared" si="767"/>
        <v>8418886.3559999987</v>
      </c>
      <c r="K631" s="13"/>
      <c r="L631" s="32"/>
      <c r="M631" s="74">
        <f t="shared" si="776"/>
        <v>194881.62861111108</v>
      </c>
      <c r="N631" s="68">
        <f t="shared" si="777"/>
        <v>2.2693126453729711E-2</v>
      </c>
      <c r="O631" s="32">
        <v>43.2</v>
      </c>
      <c r="P631" s="13">
        <v>194750</v>
      </c>
      <c r="Q631" s="119">
        <f t="shared" si="769"/>
        <v>131.62861111108214</v>
      </c>
      <c r="S631" s="13">
        <v>193611</v>
      </c>
      <c r="T631" s="13">
        <f t="shared" si="770"/>
        <v>1270.6286111110821</v>
      </c>
      <c r="W631" s="124">
        <v>0</v>
      </c>
      <c r="Y631" s="79">
        <f t="shared" si="771"/>
        <v>0</v>
      </c>
      <c r="Z631" s="79">
        <f t="shared" si="772"/>
        <v>0</v>
      </c>
      <c r="AA631" s="79">
        <f t="shared" si="773"/>
        <v>0</v>
      </c>
      <c r="AB631" s="79">
        <f t="shared" si="774"/>
        <v>0</v>
      </c>
      <c r="AC631" s="79">
        <f t="shared" si="775"/>
        <v>0</v>
      </c>
    </row>
    <row r="632" spans="1:29">
      <c r="A632" s="14">
        <v>369.2</v>
      </c>
      <c r="B632" s="15" t="s">
        <v>103</v>
      </c>
      <c r="C632" s="138" t="s">
        <v>175</v>
      </c>
      <c r="D632" s="102"/>
      <c r="E632" s="139" t="s">
        <v>207</v>
      </c>
      <c r="F632" s="155">
        <v>-40</v>
      </c>
      <c r="G632" s="91">
        <f t="shared" si="766"/>
        <v>-5823275.8520000009</v>
      </c>
      <c r="H632" s="74">
        <v>14558189.630000001</v>
      </c>
      <c r="I632" s="74">
        <v>5361852</v>
      </c>
      <c r="J632" s="74">
        <f t="shared" si="767"/>
        <v>15019613.482000001</v>
      </c>
      <c r="K632" s="13"/>
      <c r="L632" s="32"/>
      <c r="M632" s="74">
        <f t="shared" si="776"/>
        <v>325099.8589177489</v>
      </c>
      <c r="N632" s="68">
        <f t="shared" si="777"/>
        <v>2.2331063626744974E-2</v>
      </c>
      <c r="O632" s="32">
        <v>46.2</v>
      </c>
      <c r="P632" s="13">
        <v>325198</v>
      </c>
      <c r="Q632" s="119">
        <f t="shared" si="769"/>
        <v>-98.141082251095213</v>
      </c>
      <c r="S632" s="13">
        <v>325643</v>
      </c>
      <c r="T632" s="13">
        <f t="shared" si="770"/>
        <v>-543.14108225109521</v>
      </c>
      <c r="W632" s="124">
        <v>0</v>
      </c>
      <c r="Y632" s="79">
        <f t="shared" si="771"/>
        <v>0</v>
      </c>
      <c r="Z632" s="79">
        <f t="shared" si="772"/>
        <v>0</v>
      </c>
      <c r="AA632" s="79">
        <f t="shared" si="773"/>
        <v>0</v>
      </c>
      <c r="AB632" s="79">
        <f t="shared" si="774"/>
        <v>0</v>
      </c>
      <c r="AC632" s="79">
        <f t="shared" si="775"/>
        <v>0</v>
      </c>
    </row>
    <row r="633" spans="1:29">
      <c r="A633" s="14">
        <v>370</v>
      </c>
      <c r="B633" s="15" t="s">
        <v>113</v>
      </c>
      <c r="C633" s="138" t="s">
        <v>175</v>
      </c>
      <c r="D633" s="102"/>
      <c r="E633" s="139" t="s">
        <v>304</v>
      </c>
      <c r="F633" s="155">
        <v>-4</v>
      </c>
      <c r="G633" s="91">
        <f t="shared" si="766"/>
        <v>-156045.2776</v>
      </c>
      <c r="H633" s="74">
        <v>3901131.94</v>
      </c>
      <c r="I633" s="74">
        <v>2876561</v>
      </c>
      <c r="J633" s="74">
        <f t="shared" si="767"/>
        <v>1180616.2176000001</v>
      </c>
      <c r="K633" s="13"/>
      <c r="L633" s="32"/>
      <c r="M633" s="74">
        <f t="shared" si="776"/>
        <v>116892.6948118812</v>
      </c>
      <c r="N633" s="68">
        <f t="shared" si="777"/>
        <v>2.9963789128311616E-2</v>
      </c>
      <c r="O633" s="32">
        <v>10.1</v>
      </c>
      <c r="P633" s="13">
        <v>116933</v>
      </c>
      <c r="Q633" s="119">
        <f t="shared" si="769"/>
        <v>-40.305188118800288</v>
      </c>
      <c r="S633" s="13">
        <v>99981</v>
      </c>
      <c r="T633" s="13">
        <f t="shared" si="770"/>
        <v>16911.6948118812</v>
      </c>
      <c r="W633" s="124">
        <v>0</v>
      </c>
      <c r="Y633" s="79">
        <f t="shared" si="771"/>
        <v>0</v>
      </c>
      <c r="Z633" s="79">
        <f t="shared" si="772"/>
        <v>0</v>
      </c>
      <c r="AA633" s="79">
        <f t="shared" si="773"/>
        <v>0</v>
      </c>
      <c r="AB633" s="79">
        <f t="shared" si="774"/>
        <v>0</v>
      </c>
      <c r="AC633" s="79">
        <f t="shared" si="775"/>
        <v>0</v>
      </c>
    </row>
    <row r="634" spans="1:29">
      <c r="A634" s="14">
        <v>371</v>
      </c>
      <c r="B634" s="15" t="s">
        <v>172</v>
      </c>
      <c r="C634" s="138" t="s">
        <v>175</v>
      </c>
      <c r="D634" s="102"/>
      <c r="E634" s="139" t="s">
        <v>224</v>
      </c>
      <c r="F634" s="155">
        <v>-50</v>
      </c>
      <c r="G634" s="91">
        <f t="shared" si="766"/>
        <v>-135615.47</v>
      </c>
      <c r="H634" s="74">
        <v>271230.94</v>
      </c>
      <c r="I634" s="74">
        <v>223984</v>
      </c>
      <c r="J634" s="74">
        <f t="shared" si="767"/>
        <v>182862.41000000003</v>
      </c>
      <c r="K634" s="13"/>
      <c r="L634" s="32"/>
      <c r="M634" s="74">
        <f t="shared" si="776"/>
        <v>14175.380620155041</v>
      </c>
      <c r="N634" s="68">
        <f t="shared" si="777"/>
        <v>5.2263140112831674E-2</v>
      </c>
      <c r="O634" s="32">
        <v>12.9</v>
      </c>
      <c r="P634" s="13">
        <v>14173</v>
      </c>
      <c r="Q634" s="119">
        <f t="shared" si="769"/>
        <v>2.3806201550414698</v>
      </c>
      <c r="S634" s="13">
        <v>12715</v>
      </c>
      <c r="T634" s="13">
        <f t="shared" si="770"/>
        <v>1460.3806201550415</v>
      </c>
      <c r="W634" s="124">
        <v>0</v>
      </c>
      <c r="Y634" s="79">
        <f t="shared" si="771"/>
        <v>0</v>
      </c>
      <c r="Z634" s="79">
        <f t="shared" si="772"/>
        <v>0</v>
      </c>
      <c r="AA634" s="79">
        <f t="shared" si="773"/>
        <v>0</v>
      </c>
      <c r="AB634" s="79">
        <f t="shared" si="774"/>
        <v>0</v>
      </c>
      <c r="AC634" s="79">
        <f t="shared" si="775"/>
        <v>0</v>
      </c>
    </row>
    <row r="635" spans="1:29">
      <c r="A635" s="14">
        <v>373</v>
      </c>
      <c r="B635" s="15" t="s">
        <v>173</v>
      </c>
      <c r="C635" s="138" t="s">
        <v>175</v>
      </c>
      <c r="D635" s="102"/>
      <c r="E635" s="139" t="s">
        <v>319</v>
      </c>
      <c r="F635" s="155">
        <v>-30</v>
      </c>
      <c r="G635" s="91">
        <f t="shared" si="766"/>
        <v>-201792.64499999999</v>
      </c>
      <c r="H635" s="74">
        <v>672642.15</v>
      </c>
      <c r="I635" s="74">
        <v>323710</v>
      </c>
      <c r="J635" s="74">
        <f t="shared" si="767"/>
        <v>550724.79500000004</v>
      </c>
      <c r="K635" s="13"/>
      <c r="L635" s="32"/>
      <c r="M635" s="74">
        <f t="shared" si="776"/>
        <v>23435.097659574469</v>
      </c>
      <c r="N635" s="68">
        <f t="shared" si="777"/>
        <v>3.4840364463592517E-2</v>
      </c>
      <c r="O635" s="32">
        <v>23.5</v>
      </c>
      <c r="P635" s="13">
        <v>23386</v>
      </c>
      <c r="Q635" s="119">
        <f t="shared" si="769"/>
        <v>49.097659574468707</v>
      </c>
      <c r="S635" s="13">
        <v>22326</v>
      </c>
      <c r="T635" s="13">
        <f t="shared" si="770"/>
        <v>1109.0976595744687</v>
      </c>
      <c r="W635" s="124">
        <v>0</v>
      </c>
      <c r="Y635" s="79">
        <f t="shared" si="771"/>
        <v>0</v>
      </c>
      <c r="Z635" s="79">
        <f t="shared" si="772"/>
        <v>0</v>
      </c>
      <c r="AA635" s="79">
        <f t="shared" si="773"/>
        <v>0</v>
      </c>
      <c r="AB635" s="79">
        <f t="shared" si="774"/>
        <v>0</v>
      </c>
      <c r="AC635" s="79">
        <f t="shared" si="775"/>
        <v>0</v>
      </c>
    </row>
    <row r="636" spans="1:29">
      <c r="A636" s="6"/>
      <c r="B636" s="48" t="s">
        <v>110</v>
      </c>
      <c r="C636" s="23"/>
      <c r="D636" s="102"/>
      <c r="F636" s="154"/>
      <c r="G636" s="72"/>
      <c r="H636" s="83">
        <f>+SUBTOTAL(9,H622:H635)</f>
        <v>225035480.86000001</v>
      </c>
      <c r="I636" s="83">
        <f>+SUBTOTAL(9,I622:I635)</f>
        <v>101665301</v>
      </c>
      <c r="J636" s="83">
        <f>+SUBTOTAL(9,J622:J635)</f>
        <v>247092517.59659997</v>
      </c>
      <c r="K636" s="51"/>
      <c r="L636" s="31"/>
      <c r="M636" s="83">
        <f>+SUBTOTAL(9,M622:M635)</f>
        <v>5983916.574705353</v>
      </c>
      <c r="N636" s="52">
        <f>+ROUND(M636/H636*100,2)</f>
        <v>2.66</v>
      </c>
      <c r="O636" s="31"/>
      <c r="P636" s="106">
        <f>+SUBTOTAL(9,P622:P635)</f>
        <v>5984235</v>
      </c>
      <c r="Q636" s="109">
        <f>+SUBTOTAL(9,Q622:Q635)</f>
        <v>-318.42529464735162</v>
      </c>
      <c r="S636" s="106">
        <f>+SUBTOTAL(9,S622:S635)</f>
        <v>6171346</v>
      </c>
      <c r="T636" s="106">
        <f>+SUBTOTAL(9,T622:T635)</f>
        <v>-187429.42529464734</v>
      </c>
      <c r="Y636" s="83">
        <f t="shared" ref="Y636:AC636" si="778">+SUBTOTAL(9,Y622:Y635)</f>
        <v>0</v>
      </c>
      <c r="Z636" s="83">
        <f t="shared" si="778"/>
        <v>0</v>
      </c>
      <c r="AA636" s="83">
        <f t="shared" si="778"/>
        <v>0</v>
      </c>
      <c r="AB636" s="83">
        <f t="shared" si="778"/>
        <v>0</v>
      </c>
      <c r="AC636" s="83">
        <f t="shared" si="778"/>
        <v>0</v>
      </c>
    </row>
    <row r="637" spans="1:29">
      <c r="A637" s="14"/>
      <c r="B637" s="17"/>
      <c r="C637" s="23"/>
      <c r="D637" s="102"/>
      <c r="F637" s="154"/>
      <c r="G637" s="72"/>
      <c r="H637" s="74"/>
      <c r="I637" s="74"/>
      <c r="J637" s="74"/>
      <c r="K637" s="13"/>
      <c r="L637" s="31"/>
      <c r="M637" s="74"/>
      <c r="N637" s="27"/>
      <c r="O637" s="31"/>
      <c r="P637" s="13"/>
      <c r="Q637" s="122"/>
      <c r="S637" s="13"/>
      <c r="T637" s="13"/>
    </row>
    <row r="638" spans="1:29">
      <c r="A638" s="6"/>
      <c r="B638" s="61" t="s">
        <v>100</v>
      </c>
      <c r="C638" s="23"/>
      <c r="D638" s="102"/>
      <c r="F638" s="154"/>
      <c r="G638" s="72"/>
      <c r="H638" s="74"/>
      <c r="I638" s="74"/>
      <c r="J638" s="74"/>
      <c r="K638" s="13"/>
      <c r="L638" s="31"/>
      <c r="M638" s="74"/>
      <c r="N638" s="27"/>
      <c r="O638" s="31"/>
      <c r="P638" s="13"/>
      <c r="Q638" s="122"/>
      <c r="S638" s="13"/>
      <c r="T638" s="13"/>
    </row>
    <row r="639" spans="1:29">
      <c r="A639" s="14">
        <v>360.2</v>
      </c>
      <c r="B639" s="15" t="s">
        <v>10</v>
      </c>
      <c r="C639" s="138" t="s">
        <v>175</v>
      </c>
      <c r="D639" s="102"/>
      <c r="E639" s="139" t="s">
        <v>207</v>
      </c>
      <c r="F639" s="155">
        <v>0</v>
      </c>
      <c r="G639" s="91">
        <f t="shared" ref="G639:G651" si="779">H639*F639/100</f>
        <v>0</v>
      </c>
      <c r="H639" s="74">
        <v>7985479</v>
      </c>
      <c r="I639" s="74">
        <v>2303105</v>
      </c>
      <c r="J639" s="74">
        <f t="shared" ref="J639:J651" si="780">H639-G639-I639</f>
        <v>5682374</v>
      </c>
      <c r="K639" s="13"/>
      <c r="L639" s="32">
        <v>46.5</v>
      </c>
      <c r="M639" s="74">
        <f t="shared" ref="M639:M651" si="781">J639/O639</f>
        <v>122201.59139784946</v>
      </c>
      <c r="N639" s="68">
        <f t="shared" ref="N639:N651" si="782">M639/H639</f>
        <v>1.5302975738568652E-2</v>
      </c>
      <c r="O639" s="32">
        <v>46.5</v>
      </c>
      <c r="P639" s="13">
        <v>122259</v>
      </c>
      <c r="Q639" s="119">
        <f t="shared" ref="Q639:Q651" si="783">M639-P639</f>
        <v>-57.408602150535444</v>
      </c>
      <c r="S639" s="13">
        <v>180969</v>
      </c>
      <c r="T639" s="13">
        <f t="shared" ref="T639:T651" si="784">M639-S639</f>
        <v>-58767.408602150535</v>
      </c>
      <c r="W639" s="124">
        <v>1</v>
      </c>
      <c r="Y639" s="79">
        <f t="shared" ref="Y639:Y651" si="785">M639*W639</f>
        <v>122201.59139784946</v>
      </c>
      <c r="Z639" s="79">
        <f t="shared" ref="Z639:Z651" si="786">P639*W639</f>
        <v>122259</v>
      </c>
      <c r="AA639" s="79">
        <f t="shared" ref="AA639:AA651" si="787">Q639*W639</f>
        <v>-57.408602150535444</v>
      </c>
      <c r="AB639" s="79">
        <f t="shared" ref="AB639:AB651" si="788">S639*W639</f>
        <v>180969</v>
      </c>
      <c r="AC639" s="79">
        <f t="shared" ref="AC639:AC651" si="789">T639*W639</f>
        <v>-58767.408602150535</v>
      </c>
    </row>
    <row r="640" spans="1:29">
      <c r="A640" s="14">
        <v>361</v>
      </c>
      <c r="B640" s="15" t="s">
        <v>162</v>
      </c>
      <c r="C640" s="138" t="s">
        <v>175</v>
      </c>
      <c r="D640" s="102"/>
      <c r="E640" s="139" t="s">
        <v>210</v>
      </c>
      <c r="F640" s="155">
        <v>0</v>
      </c>
      <c r="G640" s="91">
        <f t="shared" si="779"/>
        <v>0</v>
      </c>
      <c r="H640" s="74">
        <v>44279566.990000002</v>
      </c>
      <c r="I640" s="74">
        <v>7945042</v>
      </c>
      <c r="J640" s="74">
        <f t="shared" si="780"/>
        <v>36334524.990000002</v>
      </c>
      <c r="K640" s="13"/>
      <c r="L640" s="32">
        <v>51.9</v>
      </c>
      <c r="M640" s="74">
        <f t="shared" si="781"/>
        <v>700087.18670520233</v>
      </c>
      <c r="N640" s="68">
        <f t="shared" si="782"/>
        <v>1.5810615014896338E-2</v>
      </c>
      <c r="O640" s="32">
        <v>51.9</v>
      </c>
      <c r="P640" s="13">
        <v>700620</v>
      </c>
      <c r="Q640" s="119">
        <f t="shared" si="783"/>
        <v>-532.8132947976701</v>
      </c>
      <c r="S640" s="13">
        <v>717554</v>
      </c>
      <c r="T640" s="13">
        <f t="shared" si="784"/>
        <v>-17466.81329479767</v>
      </c>
      <c r="W640" s="124">
        <v>1</v>
      </c>
      <c r="Y640" s="79">
        <f t="shared" si="785"/>
        <v>700087.18670520233</v>
      </c>
      <c r="Z640" s="79">
        <f t="shared" si="786"/>
        <v>700620</v>
      </c>
      <c r="AA640" s="79">
        <f t="shared" si="787"/>
        <v>-532.8132947976701</v>
      </c>
      <c r="AB640" s="79">
        <f t="shared" si="788"/>
        <v>717554</v>
      </c>
      <c r="AC640" s="79">
        <f t="shared" si="789"/>
        <v>-17466.81329479767</v>
      </c>
    </row>
    <row r="641" spans="1:29">
      <c r="A641" s="14">
        <v>362</v>
      </c>
      <c r="B641" s="15" t="s">
        <v>98</v>
      </c>
      <c r="C641" s="138" t="s">
        <v>175</v>
      </c>
      <c r="D641" s="102"/>
      <c r="E641" s="139" t="s">
        <v>320</v>
      </c>
      <c r="F641" s="155">
        <v>-10</v>
      </c>
      <c r="G641" s="91">
        <f t="shared" si="779"/>
        <v>-41129111.755999997</v>
      </c>
      <c r="H641" s="74">
        <v>411291117.56</v>
      </c>
      <c r="I641" s="74">
        <v>85772075</v>
      </c>
      <c r="J641" s="74">
        <f t="shared" si="780"/>
        <v>366648154.31599998</v>
      </c>
      <c r="K641" s="13"/>
      <c r="L641" s="32">
        <v>40.299999999999997</v>
      </c>
      <c r="M641" s="74">
        <f t="shared" si="781"/>
        <v>9097969.0897270478</v>
      </c>
      <c r="N641" s="68">
        <f t="shared" si="782"/>
        <v>2.212050954005788E-2</v>
      </c>
      <c r="O641" s="32">
        <v>40.299999999999997</v>
      </c>
      <c r="P641" s="13">
        <v>9087074</v>
      </c>
      <c r="Q641" s="119">
        <f t="shared" si="783"/>
        <v>10895.089727047831</v>
      </c>
      <c r="S641" s="13">
        <v>9662255</v>
      </c>
      <c r="T641" s="13">
        <f t="shared" si="784"/>
        <v>-564285.91027295217</v>
      </c>
      <c r="W641" s="124">
        <v>1</v>
      </c>
      <c r="Y641" s="79">
        <f t="shared" si="785"/>
        <v>9097969.0897270478</v>
      </c>
      <c r="Z641" s="79">
        <f t="shared" si="786"/>
        <v>9087074</v>
      </c>
      <c r="AA641" s="79">
        <f t="shared" si="787"/>
        <v>10895.089727047831</v>
      </c>
      <c r="AB641" s="79">
        <f t="shared" si="788"/>
        <v>9662255</v>
      </c>
      <c r="AC641" s="79">
        <f t="shared" si="789"/>
        <v>-564285.91027295217</v>
      </c>
    </row>
    <row r="642" spans="1:29">
      <c r="A642" s="14">
        <v>362.7</v>
      </c>
      <c r="B642" s="15" t="s">
        <v>14</v>
      </c>
      <c r="C642" s="138" t="s">
        <v>175</v>
      </c>
      <c r="D642" s="102"/>
      <c r="E642" s="139" t="s">
        <v>225</v>
      </c>
      <c r="F642" s="155">
        <v>0</v>
      </c>
      <c r="G642" s="91">
        <f t="shared" si="779"/>
        <v>0</v>
      </c>
      <c r="H642" s="74">
        <v>5594695.6299999999</v>
      </c>
      <c r="I642" s="74">
        <v>2568536</v>
      </c>
      <c r="J642" s="74">
        <f t="shared" si="780"/>
        <v>3026159.63</v>
      </c>
      <c r="K642" s="13"/>
      <c r="L642" s="32">
        <v>17</v>
      </c>
      <c r="M642" s="74">
        <f t="shared" si="781"/>
        <v>178009.38999999998</v>
      </c>
      <c r="N642" s="68">
        <f t="shared" si="782"/>
        <v>3.1817528918905637E-2</v>
      </c>
      <c r="O642" s="32">
        <v>17</v>
      </c>
      <c r="P642" s="13">
        <v>177772</v>
      </c>
      <c r="Q642" s="119">
        <f t="shared" si="783"/>
        <v>237.38999999998487</v>
      </c>
      <c r="S642" s="13">
        <v>167682</v>
      </c>
      <c r="T642" s="13">
        <f t="shared" si="784"/>
        <v>10327.389999999985</v>
      </c>
      <c r="W642" s="124">
        <v>1</v>
      </c>
      <c r="Y642" s="79">
        <f t="shared" si="785"/>
        <v>178009.38999999998</v>
      </c>
      <c r="Z642" s="79">
        <f t="shared" si="786"/>
        <v>177772</v>
      </c>
      <c r="AA642" s="79">
        <f t="shared" si="787"/>
        <v>237.38999999998487</v>
      </c>
      <c r="AB642" s="79">
        <f t="shared" si="788"/>
        <v>167682</v>
      </c>
      <c r="AC642" s="79">
        <f t="shared" si="789"/>
        <v>10327.389999999985</v>
      </c>
    </row>
    <row r="643" spans="1:29">
      <c r="A643" s="14">
        <v>364</v>
      </c>
      <c r="B643" s="15" t="s">
        <v>171</v>
      </c>
      <c r="C643" s="138" t="s">
        <v>175</v>
      </c>
      <c r="D643" s="102"/>
      <c r="E643" s="139" t="s">
        <v>222</v>
      </c>
      <c r="F643" s="155">
        <v>-80</v>
      </c>
      <c r="G643" s="91">
        <f t="shared" si="779"/>
        <v>-255412914.352</v>
      </c>
      <c r="H643" s="74">
        <v>319266142.94</v>
      </c>
      <c r="I643" s="74">
        <v>148074576</v>
      </c>
      <c r="J643" s="74">
        <f t="shared" si="780"/>
        <v>426604481.29200006</v>
      </c>
      <c r="K643" s="13"/>
      <c r="L643" s="32">
        <v>40.700000000000003</v>
      </c>
      <c r="M643" s="74">
        <f t="shared" si="781"/>
        <v>10481682.587027028</v>
      </c>
      <c r="N643" s="68">
        <f t="shared" si="782"/>
        <v>3.2830548490062915E-2</v>
      </c>
      <c r="O643" s="32">
        <v>40.700000000000003</v>
      </c>
      <c r="P643" s="13">
        <v>10494307</v>
      </c>
      <c r="Q643" s="119">
        <f t="shared" si="783"/>
        <v>-12624.412972971797</v>
      </c>
      <c r="S643" s="13">
        <v>11803542</v>
      </c>
      <c r="T643" s="13">
        <f t="shared" si="784"/>
        <v>-1321859.4129729718</v>
      </c>
      <c r="W643" s="124">
        <v>1</v>
      </c>
      <c r="Y643" s="79">
        <f t="shared" si="785"/>
        <v>10481682.587027028</v>
      </c>
      <c r="Z643" s="79">
        <f t="shared" si="786"/>
        <v>10494307</v>
      </c>
      <c r="AA643" s="79">
        <f t="shared" si="787"/>
        <v>-12624.412972971797</v>
      </c>
      <c r="AB643" s="79">
        <f t="shared" si="788"/>
        <v>11803542</v>
      </c>
      <c r="AC643" s="79">
        <f t="shared" si="789"/>
        <v>-1321859.4129729718</v>
      </c>
    </row>
    <row r="644" spans="1:29">
      <c r="A644" s="14">
        <v>365</v>
      </c>
      <c r="B644" s="15" t="s">
        <v>167</v>
      </c>
      <c r="C644" s="138" t="s">
        <v>175</v>
      </c>
      <c r="D644" s="102"/>
      <c r="E644" s="139" t="s">
        <v>299</v>
      </c>
      <c r="F644" s="155">
        <v>-45</v>
      </c>
      <c r="G644" s="91">
        <f t="shared" si="779"/>
        <v>-94361964.128999993</v>
      </c>
      <c r="H644" s="74">
        <v>209693253.62</v>
      </c>
      <c r="I644" s="74">
        <v>83277577</v>
      </c>
      <c r="J644" s="74">
        <f t="shared" si="780"/>
        <v>220777640.74900001</v>
      </c>
      <c r="K644" s="13"/>
      <c r="L644" s="32">
        <v>41.6</v>
      </c>
      <c r="M644" s="74">
        <f t="shared" si="781"/>
        <v>5307154.8256971156</v>
      </c>
      <c r="N644" s="68">
        <f t="shared" si="782"/>
        <v>2.5309134815155222E-2</v>
      </c>
      <c r="O644" s="32">
        <v>41.6</v>
      </c>
      <c r="P644" s="13">
        <v>5313522</v>
      </c>
      <c r="Q644" s="119">
        <f t="shared" si="783"/>
        <v>-6367.1743028843775</v>
      </c>
      <c r="S644" s="13">
        <v>5707031</v>
      </c>
      <c r="T644" s="13">
        <f t="shared" si="784"/>
        <v>-399876.17430288438</v>
      </c>
      <c r="W644" s="124">
        <v>1</v>
      </c>
      <c r="Y644" s="79">
        <f t="shared" si="785"/>
        <v>5307154.8256971156</v>
      </c>
      <c r="Z644" s="79">
        <f t="shared" si="786"/>
        <v>5313522</v>
      </c>
      <c r="AA644" s="79">
        <f t="shared" si="787"/>
        <v>-6367.1743028843775</v>
      </c>
      <c r="AB644" s="79">
        <f t="shared" si="788"/>
        <v>5707031</v>
      </c>
      <c r="AC644" s="79">
        <f t="shared" si="789"/>
        <v>-399876.17430288438</v>
      </c>
    </row>
    <row r="645" spans="1:29">
      <c r="A645" s="14">
        <v>366</v>
      </c>
      <c r="B645" s="15" t="s">
        <v>168</v>
      </c>
      <c r="C645" s="138" t="s">
        <v>175</v>
      </c>
      <c r="D645" s="102"/>
      <c r="E645" s="139" t="s">
        <v>208</v>
      </c>
      <c r="F645" s="155">
        <v>-50</v>
      </c>
      <c r="G645" s="91">
        <f t="shared" si="779"/>
        <v>-84600050.254999995</v>
      </c>
      <c r="H645" s="74">
        <v>169200100.50999999</v>
      </c>
      <c r="I645" s="74">
        <v>54002188</v>
      </c>
      <c r="J645" s="74">
        <f t="shared" si="780"/>
        <v>199797962.76499999</v>
      </c>
      <c r="K645" s="13"/>
      <c r="L645" s="32">
        <v>50</v>
      </c>
      <c r="M645" s="74">
        <f t="shared" si="781"/>
        <v>3995959.2552999998</v>
      </c>
      <c r="N645" s="68">
        <f t="shared" si="782"/>
        <v>2.3616766439591048E-2</v>
      </c>
      <c r="O645" s="32">
        <v>50</v>
      </c>
      <c r="P645" s="13">
        <v>3997532</v>
      </c>
      <c r="Q645" s="119">
        <f t="shared" si="783"/>
        <v>-1572.7447000001557</v>
      </c>
      <c r="S645" s="13">
        <v>4319935</v>
      </c>
      <c r="T645" s="13">
        <f t="shared" si="784"/>
        <v>-323975.74470000016</v>
      </c>
      <c r="W645" s="124">
        <v>1</v>
      </c>
      <c r="Y645" s="79">
        <f t="shared" si="785"/>
        <v>3995959.2552999998</v>
      </c>
      <c r="Z645" s="79">
        <f t="shared" si="786"/>
        <v>3997532</v>
      </c>
      <c r="AA645" s="79">
        <f t="shared" si="787"/>
        <v>-1572.7447000001557</v>
      </c>
      <c r="AB645" s="79">
        <f t="shared" si="788"/>
        <v>4319935</v>
      </c>
      <c r="AC645" s="79">
        <f t="shared" si="789"/>
        <v>-323975.74470000016</v>
      </c>
    </row>
    <row r="646" spans="1:29">
      <c r="A646" s="14">
        <v>367</v>
      </c>
      <c r="B646" s="15" t="s">
        <v>169</v>
      </c>
      <c r="C646" s="139" t="s">
        <v>175</v>
      </c>
      <c r="D646" s="102"/>
      <c r="E646" s="139" t="s">
        <v>226</v>
      </c>
      <c r="F646" s="155">
        <v>-25</v>
      </c>
      <c r="G646" s="91">
        <f t="shared" si="779"/>
        <v>-116861871.19499999</v>
      </c>
      <c r="H646" s="74">
        <v>467447484.77999997</v>
      </c>
      <c r="I646" s="74">
        <v>150872077</v>
      </c>
      <c r="J646" s="74">
        <f t="shared" si="780"/>
        <v>433437278.9749999</v>
      </c>
      <c r="K646" s="13"/>
      <c r="L646" s="32">
        <v>43.57</v>
      </c>
      <c r="M646" s="74">
        <f t="shared" si="781"/>
        <v>9948066.9950654097</v>
      </c>
      <c r="N646" s="68">
        <f t="shared" si="782"/>
        <v>2.1281678303921945E-2</v>
      </c>
      <c r="O646" s="32">
        <v>43.57</v>
      </c>
      <c r="P646" s="13">
        <v>10864537</v>
      </c>
      <c r="Q646" s="119">
        <f t="shared" si="783"/>
        <v>-916470.00493459031</v>
      </c>
      <c r="S646" s="13">
        <v>11252322</v>
      </c>
      <c r="T646" s="13">
        <f t="shared" si="784"/>
        <v>-1304255.0049345903</v>
      </c>
      <c r="W646" s="124">
        <v>1</v>
      </c>
      <c r="Y646" s="79">
        <f t="shared" si="785"/>
        <v>9948066.9950654097</v>
      </c>
      <c r="Z646" s="79">
        <f t="shared" si="786"/>
        <v>10864537</v>
      </c>
      <c r="AA646" s="79">
        <f t="shared" si="787"/>
        <v>-916470.00493459031</v>
      </c>
      <c r="AB646" s="79">
        <f t="shared" si="788"/>
        <v>11252322</v>
      </c>
      <c r="AC646" s="79">
        <f t="shared" si="789"/>
        <v>-1304255.0049345903</v>
      </c>
    </row>
    <row r="647" spans="1:29">
      <c r="A647" s="14">
        <v>368</v>
      </c>
      <c r="B647" s="15" t="s">
        <v>101</v>
      </c>
      <c r="C647" s="139" t="s">
        <v>175</v>
      </c>
      <c r="D647" s="102"/>
      <c r="E647" s="139" t="s">
        <v>227</v>
      </c>
      <c r="F647" s="155">
        <v>-5</v>
      </c>
      <c r="G647" s="91">
        <f t="shared" si="779"/>
        <v>-21373400.760000002</v>
      </c>
      <c r="H647" s="74">
        <v>427468015.19999999</v>
      </c>
      <c r="I647" s="74">
        <v>103940801</v>
      </c>
      <c r="J647" s="74">
        <f t="shared" si="780"/>
        <v>344900614.95999998</v>
      </c>
      <c r="K647" s="13"/>
      <c r="L647" s="32">
        <v>41.65</v>
      </c>
      <c r="M647" s="74">
        <f t="shared" si="781"/>
        <v>8280927.1298919562</v>
      </c>
      <c r="N647" s="68">
        <f t="shared" si="782"/>
        <v>1.9372039159508924E-2</v>
      </c>
      <c r="O647" s="32">
        <v>41.65</v>
      </c>
      <c r="P647" s="13">
        <v>9281386</v>
      </c>
      <c r="Q647" s="119">
        <f t="shared" si="783"/>
        <v>-1000458.8701080438</v>
      </c>
      <c r="S647" s="13">
        <v>9492048</v>
      </c>
      <c r="T647" s="13">
        <f t="shared" si="784"/>
        <v>-1211120.8701080438</v>
      </c>
      <c r="W647" s="124">
        <v>1</v>
      </c>
      <c r="Y647" s="79">
        <f t="shared" si="785"/>
        <v>8280927.1298919562</v>
      </c>
      <c r="Z647" s="79">
        <f t="shared" si="786"/>
        <v>9281386</v>
      </c>
      <c r="AA647" s="79">
        <f t="shared" si="787"/>
        <v>-1000458.8701080438</v>
      </c>
      <c r="AB647" s="79">
        <f t="shared" si="788"/>
        <v>9492048</v>
      </c>
      <c r="AC647" s="79">
        <f t="shared" si="789"/>
        <v>-1211120.8701080438</v>
      </c>
    </row>
    <row r="648" spans="1:29">
      <c r="A648" s="14">
        <v>369</v>
      </c>
      <c r="B648" s="15" t="s">
        <v>112</v>
      </c>
      <c r="C648" s="138" t="s">
        <v>175</v>
      </c>
      <c r="D648" s="102"/>
      <c r="E648" s="139" t="s">
        <v>228</v>
      </c>
      <c r="F648" s="155">
        <v>-25</v>
      </c>
      <c r="G648" s="91">
        <f t="shared" si="779"/>
        <v>-56198761.777500004</v>
      </c>
      <c r="H648" s="74">
        <v>224795047.11000001</v>
      </c>
      <c r="I648" s="74">
        <v>61965242</v>
      </c>
      <c r="J648" s="74">
        <f t="shared" si="780"/>
        <v>219028566.88750005</v>
      </c>
      <c r="K648" s="13"/>
      <c r="L648" s="32">
        <v>45.6</v>
      </c>
      <c r="M648" s="74">
        <f t="shared" si="781"/>
        <v>4803258.0457785092</v>
      </c>
      <c r="N648" s="68">
        <f t="shared" si="782"/>
        <v>2.13672770264734E-2</v>
      </c>
      <c r="O648" s="32">
        <v>45.6</v>
      </c>
      <c r="P648" s="13">
        <v>4806156</v>
      </c>
      <c r="Q648" s="119">
        <f t="shared" si="783"/>
        <v>-2897.9542214907706</v>
      </c>
      <c r="S648" s="13">
        <v>5092421</v>
      </c>
      <c r="T648" s="13">
        <f t="shared" si="784"/>
        <v>-289162.95422149077</v>
      </c>
      <c r="W648" s="124">
        <v>1</v>
      </c>
      <c r="Y648" s="79">
        <f t="shared" si="785"/>
        <v>4803258.0457785092</v>
      </c>
      <c r="Z648" s="79">
        <f t="shared" si="786"/>
        <v>4806156</v>
      </c>
      <c r="AA648" s="79">
        <f t="shared" si="787"/>
        <v>-2897.9542214907706</v>
      </c>
      <c r="AB648" s="79">
        <f t="shared" si="788"/>
        <v>5092421</v>
      </c>
      <c r="AC648" s="79">
        <f t="shared" si="789"/>
        <v>-289162.95422149077</v>
      </c>
    </row>
    <row r="649" spans="1:29">
      <c r="A649" s="14">
        <v>370</v>
      </c>
      <c r="B649" s="15" t="s">
        <v>113</v>
      </c>
      <c r="C649" s="138" t="s">
        <v>175</v>
      </c>
      <c r="D649" s="102"/>
      <c r="E649" s="139" t="s">
        <v>311</v>
      </c>
      <c r="F649" s="155">
        <v>-2</v>
      </c>
      <c r="G649" s="91">
        <f t="shared" si="779"/>
        <v>-1464759.8044</v>
      </c>
      <c r="H649" s="74">
        <v>73237990.219999999</v>
      </c>
      <c r="I649" s="74">
        <v>28704701</v>
      </c>
      <c r="J649" s="74">
        <f t="shared" si="780"/>
        <v>45998049.024399996</v>
      </c>
      <c r="K649" s="13"/>
      <c r="L649" s="32">
        <v>20.5</v>
      </c>
      <c r="M649" s="74">
        <f t="shared" si="781"/>
        <v>2243807.2694829265</v>
      </c>
      <c r="N649" s="68">
        <f t="shared" si="782"/>
        <v>3.0637204308074834E-2</v>
      </c>
      <c r="O649" s="32">
        <v>20.5</v>
      </c>
      <c r="P649" s="13">
        <v>2239582</v>
      </c>
      <c r="Q649" s="119">
        <f t="shared" si="783"/>
        <v>4225.2694829264656</v>
      </c>
      <c r="S649" s="13">
        <v>2331644</v>
      </c>
      <c r="T649" s="13">
        <f t="shared" si="784"/>
        <v>-87836.730517073534</v>
      </c>
      <c r="W649" s="124">
        <v>1</v>
      </c>
      <c r="Y649" s="79">
        <f t="shared" si="785"/>
        <v>2243807.2694829265</v>
      </c>
      <c r="Z649" s="79">
        <f t="shared" si="786"/>
        <v>2239582</v>
      </c>
      <c r="AA649" s="79">
        <f t="shared" si="787"/>
        <v>4225.2694829264656</v>
      </c>
      <c r="AB649" s="79">
        <f t="shared" si="788"/>
        <v>2331644</v>
      </c>
      <c r="AC649" s="79">
        <f t="shared" si="789"/>
        <v>-87836.730517073534</v>
      </c>
    </row>
    <row r="650" spans="1:29">
      <c r="A650" s="14">
        <v>371</v>
      </c>
      <c r="B650" s="15" t="s">
        <v>172</v>
      </c>
      <c r="C650" s="138" t="s">
        <v>175</v>
      </c>
      <c r="D650" s="102"/>
      <c r="E650" s="139" t="s">
        <v>224</v>
      </c>
      <c r="F650" s="155">
        <v>-60</v>
      </c>
      <c r="G650" s="91">
        <f t="shared" si="779"/>
        <v>-2650987.6439999999</v>
      </c>
      <c r="H650" s="74">
        <v>4418312.74</v>
      </c>
      <c r="I650" s="74">
        <v>2742405</v>
      </c>
      <c r="J650" s="74">
        <f t="shared" si="780"/>
        <v>4326895.3839999996</v>
      </c>
      <c r="K650" s="13"/>
      <c r="L650" s="32">
        <v>17.3</v>
      </c>
      <c r="M650" s="74">
        <f t="shared" si="781"/>
        <v>250109.5597687861</v>
      </c>
      <c r="N650" s="68">
        <f t="shared" si="782"/>
        <v>5.6607482196650953E-2</v>
      </c>
      <c r="O650" s="32">
        <v>17.3</v>
      </c>
      <c r="P650" s="13">
        <v>250217</v>
      </c>
      <c r="Q650" s="119">
        <f t="shared" si="783"/>
        <v>-107.4402312138991</v>
      </c>
      <c r="S650" s="13">
        <v>236082</v>
      </c>
      <c r="T650" s="13">
        <f t="shared" si="784"/>
        <v>14027.559768786101</v>
      </c>
      <c r="W650" s="124">
        <v>1</v>
      </c>
      <c r="Y650" s="79">
        <f t="shared" si="785"/>
        <v>250109.5597687861</v>
      </c>
      <c r="Z650" s="79">
        <f t="shared" si="786"/>
        <v>250217</v>
      </c>
      <c r="AA650" s="79">
        <f t="shared" si="787"/>
        <v>-107.4402312138991</v>
      </c>
      <c r="AB650" s="79">
        <f t="shared" si="788"/>
        <v>236082</v>
      </c>
      <c r="AC650" s="79">
        <f t="shared" si="789"/>
        <v>14027.559768786101</v>
      </c>
    </row>
    <row r="651" spans="1:29">
      <c r="A651" s="14">
        <v>373</v>
      </c>
      <c r="B651" s="15" t="s">
        <v>173</v>
      </c>
      <c r="C651" s="138" t="s">
        <v>175</v>
      </c>
      <c r="D651" s="102"/>
      <c r="E651" s="139" t="s">
        <v>229</v>
      </c>
      <c r="F651" s="155">
        <v>-20</v>
      </c>
      <c r="G651" s="91">
        <f t="shared" si="779"/>
        <v>-4753496.3780000005</v>
      </c>
      <c r="H651" s="74">
        <v>23767481.890000001</v>
      </c>
      <c r="I651" s="74">
        <v>10666812</v>
      </c>
      <c r="J651" s="74">
        <f t="shared" si="780"/>
        <v>17854166.267999999</v>
      </c>
      <c r="K651" s="13"/>
      <c r="L651" s="32">
        <v>17.8</v>
      </c>
      <c r="M651" s="74">
        <f t="shared" si="781"/>
        <v>1003043.0487640449</v>
      </c>
      <c r="N651" s="68">
        <f t="shared" si="782"/>
        <v>4.220232725563023E-2</v>
      </c>
      <c r="O651" s="32">
        <v>17.8</v>
      </c>
      <c r="P651" s="13">
        <v>1004478</v>
      </c>
      <c r="Q651" s="119">
        <f t="shared" si="783"/>
        <v>-1434.9512359551154</v>
      </c>
      <c r="S651" s="13">
        <v>1065742</v>
      </c>
      <c r="T651" s="13">
        <f t="shared" si="784"/>
        <v>-62698.951235955115</v>
      </c>
      <c r="W651" s="124">
        <v>1</v>
      </c>
      <c r="Y651" s="79">
        <f t="shared" si="785"/>
        <v>1003043.0487640449</v>
      </c>
      <c r="Z651" s="79">
        <f t="shared" si="786"/>
        <v>1004478</v>
      </c>
      <c r="AA651" s="79">
        <f t="shared" si="787"/>
        <v>-1434.9512359551154</v>
      </c>
      <c r="AB651" s="79">
        <f t="shared" si="788"/>
        <v>1065742</v>
      </c>
      <c r="AC651" s="79">
        <f t="shared" si="789"/>
        <v>-62698.951235955115</v>
      </c>
    </row>
    <row r="652" spans="1:29">
      <c r="A652" s="6"/>
      <c r="B652" s="48" t="s">
        <v>111</v>
      </c>
      <c r="C652" s="23"/>
      <c r="D652" s="102"/>
      <c r="F652" s="154"/>
      <c r="G652" s="72"/>
      <c r="H652" s="83">
        <f>+SUBTOTAL(9,H639:H651)</f>
        <v>2388444688.1899996</v>
      </c>
      <c r="I652" s="83">
        <f>+SUBTOTAL(9,I639:I651)</f>
        <v>742835137</v>
      </c>
      <c r="J652" s="83">
        <f>+SUBTOTAL(9,J639:J651)</f>
        <v>2324416869.2408996</v>
      </c>
      <c r="K652" s="51"/>
      <c r="L652" s="31"/>
      <c r="M652" s="83">
        <f>+SUBTOTAL(9,M639:M651)</f>
        <v>56412275.974605873</v>
      </c>
      <c r="N652" s="52">
        <f>+ROUND(M652/H652*100,2)</f>
        <v>2.36</v>
      </c>
      <c r="O652" s="31"/>
      <c r="P652" s="106">
        <f>+SUBTOTAL(9,P639:P651)</f>
        <v>58339442</v>
      </c>
      <c r="Q652" s="109">
        <f>+SUBTOTAL(9,Q639:Q651)</f>
        <v>-1927166.025394124</v>
      </c>
      <c r="S652" s="106">
        <f>+SUBTOTAL(9,S639:S651)</f>
        <v>62029227</v>
      </c>
      <c r="T652" s="106">
        <f>+SUBTOTAL(9,T639:T651)</f>
        <v>-5616951.0253941249</v>
      </c>
      <c r="Y652" s="83">
        <f t="shared" ref="Y652:AC652" si="790">+SUBTOTAL(9,Y639:Y651)</f>
        <v>56412275.974605873</v>
      </c>
      <c r="Z652" s="83">
        <f t="shared" si="790"/>
        <v>58339442</v>
      </c>
      <c r="AA652" s="83">
        <f t="shared" si="790"/>
        <v>-1927166.025394124</v>
      </c>
      <c r="AB652" s="83">
        <f t="shared" si="790"/>
        <v>62029227</v>
      </c>
      <c r="AC652" s="83">
        <f t="shared" si="790"/>
        <v>-5616951.0253941249</v>
      </c>
    </row>
    <row r="653" spans="1:29">
      <c r="A653" s="14"/>
      <c r="B653" s="17"/>
      <c r="C653" s="23"/>
      <c r="D653" s="102"/>
      <c r="F653" s="154"/>
      <c r="G653" s="72"/>
      <c r="H653" s="74"/>
      <c r="I653" s="74"/>
      <c r="J653" s="74"/>
      <c r="K653" s="13"/>
      <c r="L653" s="31"/>
      <c r="M653" s="74"/>
      <c r="N653" s="27"/>
      <c r="O653" s="31"/>
      <c r="P653" s="13"/>
      <c r="Q653" s="122"/>
      <c r="S653" s="13"/>
      <c r="T653" s="13"/>
    </row>
    <row r="654" spans="1:29">
      <c r="A654" s="6"/>
      <c r="B654" s="61" t="s">
        <v>114</v>
      </c>
      <c r="C654" s="23"/>
      <c r="D654" s="102"/>
      <c r="F654" s="154"/>
      <c r="G654" s="72"/>
      <c r="H654" s="74"/>
      <c r="I654" s="74"/>
      <c r="J654" s="74"/>
      <c r="K654" s="13"/>
      <c r="L654" s="31"/>
      <c r="M654" s="74"/>
      <c r="N654" s="27"/>
      <c r="O654" s="31"/>
      <c r="P654" s="13"/>
      <c r="Q654" s="122"/>
      <c r="S654" s="13"/>
      <c r="T654" s="13"/>
    </row>
    <row r="655" spans="1:29">
      <c r="A655" s="14">
        <v>360.2</v>
      </c>
      <c r="B655" s="15" t="s">
        <v>10</v>
      </c>
      <c r="C655" s="138" t="s">
        <v>175</v>
      </c>
      <c r="D655" s="102"/>
      <c r="E655" s="139" t="s">
        <v>209</v>
      </c>
      <c r="F655" s="155">
        <v>0</v>
      </c>
      <c r="G655" s="91">
        <f t="shared" ref="G655:G667" si="791">H655*F655/100</f>
        <v>0</v>
      </c>
      <c r="H655" s="74">
        <v>1085196.3400000001</v>
      </c>
      <c r="I655" s="74">
        <v>465065</v>
      </c>
      <c r="J655" s="74">
        <f t="shared" ref="J655:J667" si="792">H655-G655-I655</f>
        <v>620131.34000000008</v>
      </c>
      <c r="K655" s="13"/>
      <c r="L655" s="32"/>
      <c r="M655" s="74">
        <f t="shared" ref="M655:M667" si="793">J655/O655</f>
        <v>17819.866091954027</v>
      </c>
      <c r="N655" s="68">
        <f t="shared" ref="N655:N667" si="794">M655/H655</f>
        <v>1.6420868219988675E-2</v>
      </c>
      <c r="O655" s="32">
        <v>34.799999999999997</v>
      </c>
      <c r="P655" s="13">
        <v>17831</v>
      </c>
      <c r="Q655" s="119">
        <f t="shared" ref="Q655:Q667" si="795">M655-P655</f>
        <v>-11.13390804597293</v>
      </c>
      <c r="S655" s="13">
        <v>17785</v>
      </c>
      <c r="T655" s="13">
        <f t="shared" ref="T655:T667" si="796">M655-S655</f>
        <v>34.86609195402707</v>
      </c>
      <c r="W655" s="124">
        <v>0</v>
      </c>
      <c r="Y655" s="79">
        <f t="shared" ref="Y655:Y667" si="797">P655*W655</f>
        <v>0</v>
      </c>
      <c r="Z655" s="79">
        <f t="shared" ref="Z655:Z667" si="798">P655*W655</f>
        <v>0</v>
      </c>
      <c r="AA655" s="79">
        <f t="shared" ref="AA655:AA667" si="799">Q655*W655</f>
        <v>0</v>
      </c>
      <c r="AB655" s="79">
        <f t="shared" ref="AB655:AB667" si="800">S655*W655</f>
        <v>0</v>
      </c>
      <c r="AC655" s="79">
        <f t="shared" ref="AC655:AC667" si="801">T655*W655</f>
        <v>0</v>
      </c>
    </row>
    <row r="656" spans="1:29">
      <c r="A656" s="14">
        <v>361</v>
      </c>
      <c r="B656" s="15" t="s">
        <v>162</v>
      </c>
      <c r="C656" s="138" t="s">
        <v>175</v>
      </c>
      <c r="D656" s="102"/>
      <c r="E656" s="139" t="s">
        <v>208</v>
      </c>
      <c r="F656" s="155">
        <v>0</v>
      </c>
      <c r="G656" s="91">
        <f t="shared" si="791"/>
        <v>0</v>
      </c>
      <c r="H656" s="74">
        <v>2161811.3199999998</v>
      </c>
      <c r="I656" s="74">
        <v>490212</v>
      </c>
      <c r="J656" s="74">
        <f t="shared" si="792"/>
        <v>1671599.3199999998</v>
      </c>
      <c r="K656" s="13"/>
      <c r="L656" s="32"/>
      <c r="M656" s="74">
        <f t="shared" si="793"/>
        <v>32146.140769230766</v>
      </c>
      <c r="N656" s="68">
        <f t="shared" si="794"/>
        <v>1.4870002979367676E-2</v>
      </c>
      <c r="O656" s="32">
        <v>52</v>
      </c>
      <c r="P656" s="13">
        <v>32124</v>
      </c>
      <c r="Q656" s="119">
        <f t="shared" si="795"/>
        <v>22.140769230765727</v>
      </c>
      <c r="S656" s="13">
        <v>31937</v>
      </c>
      <c r="T656" s="13">
        <f t="shared" si="796"/>
        <v>209.14076923076573</v>
      </c>
      <c r="W656" s="124">
        <v>0</v>
      </c>
      <c r="Y656" s="79">
        <f t="shared" si="797"/>
        <v>0</v>
      </c>
      <c r="Z656" s="79">
        <f t="shared" si="798"/>
        <v>0</v>
      </c>
      <c r="AA656" s="79">
        <f t="shared" si="799"/>
        <v>0</v>
      </c>
      <c r="AB656" s="79">
        <f t="shared" si="800"/>
        <v>0</v>
      </c>
      <c r="AC656" s="79">
        <f t="shared" si="801"/>
        <v>0</v>
      </c>
    </row>
    <row r="657" spans="1:29">
      <c r="A657" s="14">
        <v>362</v>
      </c>
      <c r="B657" s="15" t="s">
        <v>98</v>
      </c>
      <c r="C657" s="138" t="s">
        <v>175</v>
      </c>
      <c r="D657" s="102"/>
      <c r="E657" s="139" t="s">
        <v>212</v>
      </c>
      <c r="F657" s="155">
        <v>-10</v>
      </c>
      <c r="G657" s="91">
        <f t="shared" si="791"/>
        <v>-2828956.909</v>
      </c>
      <c r="H657" s="74">
        <v>28289569.09</v>
      </c>
      <c r="I657" s="74">
        <v>10002243</v>
      </c>
      <c r="J657" s="74">
        <f t="shared" si="792"/>
        <v>21116282.998999998</v>
      </c>
      <c r="K657" s="13"/>
      <c r="L657" s="32"/>
      <c r="M657" s="74">
        <f t="shared" si="793"/>
        <v>477743.95925339358</v>
      </c>
      <c r="N657" s="68">
        <f t="shared" si="794"/>
        <v>1.6887636490096624E-2</v>
      </c>
      <c r="O657" s="32">
        <v>44.2</v>
      </c>
      <c r="P657" s="13">
        <v>477551</v>
      </c>
      <c r="Q657" s="119">
        <f t="shared" si="795"/>
        <v>192.95925339357927</v>
      </c>
      <c r="S657" s="13">
        <v>481956</v>
      </c>
      <c r="T657" s="13">
        <f t="shared" si="796"/>
        <v>-4212.0407466064207</v>
      </c>
      <c r="W657" s="124">
        <v>0</v>
      </c>
      <c r="Y657" s="79">
        <f t="shared" si="797"/>
        <v>0</v>
      </c>
      <c r="Z657" s="79">
        <f t="shared" si="798"/>
        <v>0</v>
      </c>
      <c r="AA657" s="79">
        <f t="shared" si="799"/>
        <v>0</v>
      </c>
      <c r="AB657" s="79">
        <f t="shared" si="800"/>
        <v>0</v>
      </c>
      <c r="AC657" s="79">
        <f t="shared" si="801"/>
        <v>0</v>
      </c>
    </row>
    <row r="658" spans="1:29">
      <c r="A658" s="14">
        <v>362.7</v>
      </c>
      <c r="B658" s="15" t="s">
        <v>14</v>
      </c>
      <c r="C658" s="138" t="s">
        <v>175</v>
      </c>
      <c r="D658" s="102"/>
      <c r="E658" s="139" t="s">
        <v>225</v>
      </c>
      <c r="F658" s="155">
        <v>0</v>
      </c>
      <c r="G658" s="91">
        <f t="shared" si="791"/>
        <v>0</v>
      </c>
      <c r="H658" s="74">
        <v>388613.07</v>
      </c>
      <c r="I658" s="74">
        <v>282427</v>
      </c>
      <c r="J658" s="74">
        <f t="shared" si="792"/>
        <v>106186.07</v>
      </c>
      <c r="K658" s="13"/>
      <c r="L658" s="32"/>
      <c r="M658" s="74">
        <f t="shared" si="793"/>
        <v>8105.8068702290084</v>
      </c>
      <c r="N658" s="68">
        <f t="shared" si="794"/>
        <v>2.0858297098008072E-2</v>
      </c>
      <c r="O658" s="32">
        <v>13.1</v>
      </c>
      <c r="P658" s="13">
        <v>8135</v>
      </c>
      <c r="Q658" s="119">
        <f t="shared" si="795"/>
        <v>-29.193129770991618</v>
      </c>
      <c r="S658" s="13">
        <v>6392</v>
      </c>
      <c r="T658" s="13">
        <f t="shared" si="796"/>
        <v>1713.8068702290084</v>
      </c>
      <c r="W658" s="124">
        <v>0</v>
      </c>
      <c r="Y658" s="79">
        <f t="shared" si="797"/>
        <v>0</v>
      </c>
      <c r="Z658" s="79">
        <f t="shared" si="798"/>
        <v>0</v>
      </c>
      <c r="AA658" s="79">
        <f t="shared" si="799"/>
        <v>0</v>
      </c>
      <c r="AB658" s="79">
        <f t="shared" si="800"/>
        <v>0</v>
      </c>
      <c r="AC658" s="79">
        <f t="shared" si="801"/>
        <v>0</v>
      </c>
    </row>
    <row r="659" spans="1:29">
      <c r="A659" s="14">
        <v>364</v>
      </c>
      <c r="B659" s="15" t="s">
        <v>171</v>
      </c>
      <c r="C659" s="138" t="s">
        <v>175</v>
      </c>
      <c r="D659" s="102"/>
      <c r="E659" s="139" t="s">
        <v>222</v>
      </c>
      <c r="F659" s="155">
        <v>-80</v>
      </c>
      <c r="G659" s="91">
        <f t="shared" si="791"/>
        <v>-54941768.503999993</v>
      </c>
      <c r="H659" s="74">
        <v>68677210.629999995</v>
      </c>
      <c r="I659" s="74">
        <v>35745306</v>
      </c>
      <c r="J659" s="74">
        <f t="shared" si="792"/>
        <v>87873673.133999988</v>
      </c>
      <c r="K659" s="13"/>
      <c r="L659" s="32"/>
      <c r="M659" s="74">
        <f t="shared" si="793"/>
        <v>2138045.5750364959</v>
      </c>
      <c r="N659" s="68">
        <f t="shared" si="794"/>
        <v>3.1131805666296846E-2</v>
      </c>
      <c r="O659" s="32">
        <v>41.1</v>
      </c>
      <c r="P659" s="13">
        <v>2137750</v>
      </c>
      <c r="Q659" s="119">
        <f t="shared" si="795"/>
        <v>295.575036495924</v>
      </c>
      <c r="S659" s="13">
        <v>2371822</v>
      </c>
      <c r="T659" s="13">
        <f t="shared" si="796"/>
        <v>-233776.42496350408</v>
      </c>
      <c r="W659" s="124">
        <v>0</v>
      </c>
      <c r="Y659" s="79">
        <f t="shared" si="797"/>
        <v>0</v>
      </c>
      <c r="Z659" s="79">
        <f t="shared" si="798"/>
        <v>0</v>
      </c>
      <c r="AA659" s="79">
        <f t="shared" si="799"/>
        <v>0</v>
      </c>
      <c r="AB659" s="79">
        <f t="shared" si="800"/>
        <v>0</v>
      </c>
      <c r="AC659" s="79">
        <f t="shared" si="801"/>
        <v>0</v>
      </c>
    </row>
    <row r="660" spans="1:29">
      <c r="A660" s="14">
        <v>365</v>
      </c>
      <c r="B660" s="15" t="s">
        <v>167</v>
      </c>
      <c r="C660" s="138" t="s">
        <v>175</v>
      </c>
      <c r="D660" s="102"/>
      <c r="E660" s="139" t="s">
        <v>299</v>
      </c>
      <c r="F660" s="155">
        <v>-30</v>
      </c>
      <c r="G660" s="91">
        <f t="shared" si="791"/>
        <v>-10367729.316</v>
      </c>
      <c r="H660" s="74">
        <v>34559097.719999999</v>
      </c>
      <c r="I660" s="74">
        <v>18199599</v>
      </c>
      <c r="J660" s="74">
        <f t="shared" si="792"/>
        <v>26727228.035999998</v>
      </c>
      <c r="K660" s="13"/>
      <c r="L660" s="32"/>
      <c r="M660" s="74">
        <f t="shared" si="793"/>
        <v>694213.71522077918</v>
      </c>
      <c r="N660" s="68">
        <f t="shared" si="794"/>
        <v>2.0087726851127384E-2</v>
      </c>
      <c r="O660" s="32">
        <v>38.5</v>
      </c>
      <c r="P660" s="13">
        <v>694203</v>
      </c>
      <c r="Q660" s="119">
        <f t="shared" si="795"/>
        <v>10.715220779180527</v>
      </c>
      <c r="S660" s="13">
        <v>741962</v>
      </c>
      <c r="T660" s="13">
        <f t="shared" si="796"/>
        <v>-47748.284779220819</v>
      </c>
      <c r="W660" s="124">
        <v>0</v>
      </c>
      <c r="Y660" s="79">
        <f t="shared" si="797"/>
        <v>0</v>
      </c>
      <c r="Z660" s="79">
        <f t="shared" si="798"/>
        <v>0</v>
      </c>
      <c r="AA660" s="79">
        <f t="shared" si="799"/>
        <v>0</v>
      </c>
      <c r="AB660" s="79">
        <f t="shared" si="800"/>
        <v>0</v>
      </c>
      <c r="AC660" s="79">
        <f t="shared" si="801"/>
        <v>0</v>
      </c>
    </row>
    <row r="661" spans="1:29">
      <c r="A661" s="14">
        <v>366</v>
      </c>
      <c r="B661" s="15" t="s">
        <v>168</v>
      </c>
      <c r="C661" s="138" t="s">
        <v>175</v>
      </c>
      <c r="D661" s="102"/>
      <c r="E661" s="139" t="s">
        <v>208</v>
      </c>
      <c r="F661" s="155">
        <v>-40</v>
      </c>
      <c r="G661" s="91">
        <f t="shared" si="791"/>
        <v>-3155164.7719999999</v>
      </c>
      <c r="H661" s="74">
        <v>7887911.9299999997</v>
      </c>
      <c r="I661" s="74">
        <v>2686860</v>
      </c>
      <c r="J661" s="74">
        <f t="shared" si="792"/>
        <v>8356216.7019999996</v>
      </c>
      <c r="K661" s="13"/>
      <c r="L661" s="32"/>
      <c r="M661" s="74">
        <f t="shared" si="793"/>
        <v>168472.11092741933</v>
      </c>
      <c r="N661" s="68">
        <f t="shared" si="794"/>
        <v>2.1358264699517168E-2</v>
      </c>
      <c r="O661" s="32">
        <v>49.6</v>
      </c>
      <c r="P661" s="13">
        <v>168342</v>
      </c>
      <c r="Q661" s="119">
        <f t="shared" si="795"/>
        <v>130.11092741932953</v>
      </c>
      <c r="S661" s="13">
        <v>195865</v>
      </c>
      <c r="T661" s="13">
        <f t="shared" si="796"/>
        <v>-27392.88907258067</v>
      </c>
      <c r="W661" s="124">
        <v>0</v>
      </c>
      <c r="Y661" s="79">
        <f t="shared" si="797"/>
        <v>0</v>
      </c>
      <c r="Z661" s="79">
        <f t="shared" si="798"/>
        <v>0</v>
      </c>
      <c r="AA661" s="79">
        <f t="shared" si="799"/>
        <v>0</v>
      </c>
      <c r="AB661" s="79">
        <f t="shared" si="800"/>
        <v>0</v>
      </c>
      <c r="AC661" s="79">
        <f t="shared" si="801"/>
        <v>0</v>
      </c>
    </row>
    <row r="662" spans="1:29">
      <c r="A662" s="14">
        <v>367</v>
      </c>
      <c r="B662" s="15" t="s">
        <v>169</v>
      </c>
      <c r="C662" s="138" t="s">
        <v>175</v>
      </c>
      <c r="D662" s="102"/>
      <c r="E662" s="139" t="s">
        <v>226</v>
      </c>
      <c r="F662" s="155">
        <v>-15</v>
      </c>
      <c r="G662" s="91">
        <f t="shared" si="791"/>
        <v>-3689782.4505000003</v>
      </c>
      <c r="H662" s="74">
        <v>24598549.670000002</v>
      </c>
      <c r="I662" s="74">
        <v>8824498</v>
      </c>
      <c r="J662" s="74">
        <f t="shared" si="792"/>
        <v>19463834.120500002</v>
      </c>
      <c r="K662" s="13"/>
      <c r="L662" s="32"/>
      <c r="M662" s="74">
        <f t="shared" si="793"/>
        <v>499072.66975641029</v>
      </c>
      <c r="N662" s="68">
        <f t="shared" si="794"/>
        <v>2.0288703051671023E-2</v>
      </c>
      <c r="O662" s="32">
        <v>39</v>
      </c>
      <c r="P662" s="13">
        <v>499529</v>
      </c>
      <c r="Q662" s="119">
        <f t="shared" si="795"/>
        <v>-456.33024358970579</v>
      </c>
      <c r="S662" s="13">
        <v>520461</v>
      </c>
      <c r="T662" s="13">
        <f t="shared" si="796"/>
        <v>-21388.330243589706</v>
      </c>
      <c r="W662" s="124">
        <v>0</v>
      </c>
      <c r="Y662" s="79">
        <f t="shared" si="797"/>
        <v>0</v>
      </c>
      <c r="Z662" s="79">
        <f t="shared" si="798"/>
        <v>0</v>
      </c>
      <c r="AA662" s="79">
        <f t="shared" si="799"/>
        <v>0</v>
      </c>
      <c r="AB662" s="79">
        <f t="shared" si="800"/>
        <v>0</v>
      </c>
      <c r="AC662" s="79">
        <f t="shared" si="801"/>
        <v>0</v>
      </c>
    </row>
    <row r="663" spans="1:29">
      <c r="A663" s="14">
        <v>368</v>
      </c>
      <c r="B663" s="15" t="s">
        <v>101</v>
      </c>
      <c r="C663" s="138" t="s">
        <v>175</v>
      </c>
      <c r="D663" s="102"/>
      <c r="E663" s="139" t="s">
        <v>227</v>
      </c>
      <c r="F663" s="155">
        <v>-5</v>
      </c>
      <c r="G663" s="91">
        <f t="shared" si="791"/>
        <v>-3491277.1509999996</v>
      </c>
      <c r="H663" s="74">
        <v>69825543.019999996</v>
      </c>
      <c r="I663" s="74">
        <v>23321610</v>
      </c>
      <c r="J663" s="74">
        <f t="shared" si="792"/>
        <v>49995210.170999989</v>
      </c>
      <c r="K663" s="13"/>
      <c r="L663" s="32"/>
      <c r="M663" s="74">
        <f t="shared" si="793"/>
        <v>1408315.7794647885</v>
      </c>
      <c r="N663" s="68">
        <f t="shared" si="794"/>
        <v>2.0169063047048661E-2</v>
      </c>
      <c r="O663" s="32">
        <v>35.5</v>
      </c>
      <c r="P663" s="13">
        <v>1409037</v>
      </c>
      <c r="Q663" s="119">
        <f t="shared" si="795"/>
        <v>-721.22053521149792</v>
      </c>
      <c r="S663" s="13">
        <v>1409847</v>
      </c>
      <c r="T663" s="13">
        <f t="shared" si="796"/>
        <v>-1531.2205352114979</v>
      </c>
      <c r="W663" s="124">
        <v>0</v>
      </c>
      <c r="Y663" s="79">
        <f t="shared" si="797"/>
        <v>0</v>
      </c>
      <c r="Z663" s="79">
        <f t="shared" si="798"/>
        <v>0</v>
      </c>
      <c r="AA663" s="79">
        <f t="shared" si="799"/>
        <v>0</v>
      </c>
      <c r="AB663" s="79">
        <f t="shared" si="800"/>
        <v>0</v>
      </c>
      <c r="AC663" s="79">
        <f t="shared" si="801"/>
        <v>0</v>
      </c>
    </row>
    <row r="664" spans="1:29">
      <c r="A664" s="14">
        <v>369</v>
      </c>
      <c r="B664" s="15" t="s">
        <v>112</v>
      </c>
      <c r="C664" s="138" t="s">
        <v>175</v>
      </c>
      <c r="D664" s="102"/>
      <c r="E664" s="139" t="s">
        <v>228</v>
      </c>
      <c r="F664" s="155">
        <v>-25</v>
      </c>
      <c r="G664" s="91">
        <f t="shared" si="791"/>
        <v>-7614480.9924999997</v>
      </c>
      <c r="H664" s="74">
        <v>30457923.969999999</v>
      </c>
      <c r="I664" s="74">
        <v>9681657</v>
      </c>
      <c r="J664" s="74">
        <f t="shared" si="792"/>
        <v>28390747.962499999</v>
      </c>
      <c r="K664" s="13"/>
      <c r="L664" s="32"/>
      <c r="M664" s="74">
        <f t="shared" si="793"/>
        <v>626727.32809050777</v>
      </c>
      <c r="N664" s="68">
        <f t="shared" si="794"/>
        <v>2.0576823578252166E-2</v>
      </c>
      <c r="O664" s="32">
        <v>45.3</v>
      </c>
      <c r="P664" s="13">
        <v>627289</v>
      </c>
      <c r="Q664" s="119">
        <f t="shared" si="795"/>
        <v>-561.67190949223004</v>
      </c>
      <c r="S664" s="13">
        <v>661748</v>
      </c>
      <c r="T664" s="13">
        <f t="shared" si="796"/>
        <v>-35020.67190949223</v>
      </c>
      <c r="W664" s="124">
        <v>0</v>
      </c>
      <c r="Y664" s="79">
        <f t="shared" si="797"/>
        <v>0</v>
      </c>
      <c r="Z664" s="79">
        <f t="shared" si="798"/>
        <v>0</v>
      </c>
      <c r="AA664" s="79">
        <f t="shared" si="799"/>
        <v>0</v>
      </c>
      <c r="AB664" s="79">
        <f t="shared" si="800"/>
        <v>0</v>
      </c>
      <c r="AC664" s="79">
        <f t="shared" si="801"/>
        <v>0</v>
      </c>
    </row>
    <row r="665" spans="1:29">
      <c r="A665" s="14">
        <v>370</v>
      </c>
      <c r="B665" s="15" t="s">
        <v>113</v>
      </c>
      <c r="C665" s="138" t="s">
        <v>175</v>
      </c>
      <c r="D665" s="102"/>
      <c r="E665" s="139" t="s">
        <v>311</v>
      </c>
      <c r="F665" s="155">
        <v>-3</v>
      </c>
      <c r="G665" s="91">
        <f t="shared" si="791"/>
        <v>-399460.40969999996</v>
      </c>
      <c r="H665" s="74">
        <v>13315346.99</v>
      </c>
      <c r="I665" s="74">
        <v>9051089</v>
      </c>
      <c r="J665" s="74">
        <f t="shared" si="792"/>
        <v>4663718.3997000009</v>
      </c>
      <c r="K665" s="13"/>
      <c r="L665" s="32"/>
      <c r="M665" s="74">
        <f t="shared" si="793"/>
        <v>248070.12764361704</v>
      </c>
      <c r="N665" s="68">
        <f t="shared" si="794"/>
        <v>1.8630391519644286E-2</v>
      </c>
      <c r="O665" s="32">
        <v>18.8</v>
      </c>
      <c r="P665" s="13">
        <v>247989</v>
      </c>
      <c r="Q665" s="119">
        <f t="shared" si="795"/>
        <v>81.127643617044669</v>
      </c>
      <c r="S665" s="13">
        <v>288690</v>
      </c>
      <c r="T665" s="13">
        <f t="shared" si="796"/>
        <v>-40619.872356382955</v>
      </c>
      <c r="W665" s="124">
        <v>0</v>
      </c>
      <c r="Y665" s="79">
        <f t="shared" si="797"/>
        <v>0</v>
      </c>
      <c r="Z665" s="79">
        <f t="shared" si="798"/>
        <v>0</v>
      </c>
      <c r="AA665" s="79">
        <f t="shared" si="799"/>
        <v>0</v>
      </c>
      <c r="AB665" s="79">
        <f t="shared" si="800"/>
        <v>0</v>
      </c>
      <c r="AC665" s="79">
        <f t="shared" si="801"/>
        <v>0</v>
      </c>
    </row>
    <row r="666" spans="1:29">
      <c r="A666" s="14">
        <v>371</v>
      </c>
      <c r="B666" s="15" t="s">
        <v>172</v>
      </c>
      <c r="C666" s="138" t="s">
        <v>175</v>
      </c>
      <c r="D666" s="102"/>
      <c r="E666" s="139" t="s">
        <v>224</v>
      </c>
      <c r="F666" s="155">
        <v>-45</v>
      </c>
      <c r="G666" s="91">
        <f t="shared" si="791"/>
        <v>-76099.580999999991</v>
      </c>
      <c r="H666" s="74">
        <v>169110.18</v>
      </c>
      <c r="I666" s="74">
        <v>103617</v>
      </c>
      <c r="J666" s="74">
        <f t="shared" si="792"/>
        <v>141592.761</v>
      </c>
      <c r="K666" s="13"/>
      <c r="L666" s="32"/>
      <c r="M666" s="74">
        <f t="shared" si="793"/>
        <v>8137.5150000000003</v>
      </c>
      <c r="N666" s="68">
        <f t="shared" si="794"/>
        <v>4.8119604626995258E-2</v>
      </c>
      <c r="O666" s="32">
        <v>17.399999999999999</v>
      </c>
      <c r="P666" s="13">
        <v>8140</v>
      </c>
      <c r="Q666" s="119">
        <f t="shared" si="795"/>
        <v>-2.4849999999996726</v>
      </c>
      <c r="S666" s="13">
        <v>7544</v>
      </c>
      <c r="T666" s="13">
        <f t="shared" si="796"/>
        <v>593.51500000000033</v>
      </c>
      <c r="W666" s="124">
        <v>0</v>
      </c>
      <c r="Y666" s="79">
        <f t="shared" si="797"/>
        <v>0</v>
      </c>
      <c r="Z666" s="79">
        <f t="shared" si="798"/>
        <v>0</v>
      </c>
      <c r="AA666" s="79">
        <f t="shared" si="799"/>
        <v>0</v>
      </c>
      <c r="AB666" s="79">
        <f t="shared" si="800"/>
        <v>0</v>
      </c>
      <c r="AC666" s="79">
        <f t="shared" si="801"/>
        <v>0</v>
      </c>
    </row>
    <row r="667" spans="1:29">
      <c r="A667" s="14">
        <v>373</v>
      </c>
      <c r="B667" s="15" t="s">
        <v>173</v>
      </c>
      <c r="C667" s="138" t="s">
        <v>175</v>
      </c>
      <c r="D667" s="102"/>
      <c r="E667" s="139" t="s">
        <v>229</v>
      </c>
      <c r="F667" s="155">
        <v>-20</v>
      </c>
      <c r="G667" s="91">
        <f t="shared" si="791"/>
        <v>-123715.716</v>
      </c>
      <c r="H667" s="74">
        <v>618578.57999999996</v>
      </c>
      <c r="I667" s="74">
        <v>318084</v>
      </c>
      <c r="J667" s="74">
        <f t="shared" si="792"/>
        <v>424210.29599999997</v>
      </c>
      <c r="K667" s="13"/>
      <c r="L667" s="32"/>
      <c r="M667" s="74">
        <f t="shared" si="793"/>
        <v>24102.857727272723</v>
      </c>
      <c r="N667" s="68">
        <f t="shared" si="794"/>
        <v>3.8964908431314782E-2</v>
      </c>
      <c r="O667" s="32">
        <v>17.600000000000001</v>
      </c>
      <c r="P667" s="13">
        <v>24131</v>
      </c>
      <c r="Q667" s="119">
        <f t="shared" si="795"/>
        <v>-28.142272727276577</v>
      </c>
      <c r="S667" s="13">
        <v>23621</v>
      </c>
      <c r="T667" s="13">
        <f t="shared" si="796"/>
        <v>481.85772727272342</v>
      </c>
      <c r="W667" s="124">
        <v>0</v>
      </c>
      <c r="Y667" s="79">
        <f t="shared" si="797"/>
        <v>0</v>
      </c>
      <c r="Z667" s="79">
        <f t="shared" si="798"/>
        <v>0</v>
      </c>
      <c r="AA667" s="79">
        <f t="shared" si="799"/>
        <v>0</v>
      </c>
      <c r="AB667" s="79">
        <f t="shared" si="800"/>
        <v>0</v>
      </c>
      <c r="AC667" s="79">
        <f t="shared" si="801"/>
        <v>0</v>
      </c>
    </row>
    <row r="668" spans="1:29">
      <c r="A668" s="14"/>
      <c r="B668" s="48" t="s">
        <v>115</v>
      </c>
      <c r="C668" s="23"/>
      <c r="D668" s="102"/>
      <c r="F668" s="154"/>
      <c r="G668" s="72"/>
      <c r="H668" s="85">
        <f>+SUBTOTAL(9,H655:H667)</f>
        <v>282034462.50999993</v>
      </c>
      <c r="I668" s="85">
        <f>+SUBTOTAL(9,I655:I667)</f>
        <v>119172267</v>
      </c>
      <c r="J668" s="85">
        <f>+SUBTOTAL(9,J655:J667)</f>
        <v>249550631.31170002</v>
      </c>
      <c r="K668" s="51"/>
      <c r="L668" s="31"/>
      <c r="M668" s="85">
        <f>+SUBTOTAL(9,M655:M667)</f>
        <v>6350973.4518520972</v>
      </c>
      <c r="N668" s="52">
        <f>+ROUND(M668/H668*100,2)</f>
        <v>2.25</v>
      </c>
      <c r="O668" s="31"/>
      <c r="P668" s="107">
        <f>+SUBTOTAL(9,P655:P667)</f>
        <v>6352051</v>
      </c>
      <c r="Q668" s="111">
        <f>+SUBTOTAL(9,Q655:Q667)</f>
        <v>-1077.5481479018508</v>
      </c>
      <c r="S668" s="107">
        <f>+SUBTOTAL(9,S655:S667)</f>
        <v>6759630</v>
      </c>
      <c r="T668" s="107">
        <f>+SUBTOTAL(9,T655:T667)</f>
        <v>-408656.54814790183</v>
      </c>
      <c r="Y668" s="85">
        <f t="shared" ref="Y668:AC668" si="802">+SUBTOTAL(9,Y655:Y667)</f>
        <v>0</v>
      </c>
      <c r="Z668" s="85">
        <f t="shared" ref="Z668" si="803">+SUBTOTAL(9,Z655:Z667)</f>
        <v>0</v>
      </c>
      <c r="AA668" s="85">
        <f t="shared" si="802"/>
        <v>0</v>
      </c>
      <c r="AB668" s="85">
        <f t="shared" si="802"/>
        <v>0</v>
      </c>
      <c r="AC668" s="85">
        <f t="shared" si="802"/>
        <v>0</v>
      </c>
    </row>
    <row r="669" spans="1:29">
      <c r="A669" s="14"/>
      <c r="B669" s="17"/>
      <c r="C669" s="23"/>
      <c r="D669" s="102"/>
      <c r="F669" s="154"/>
      <c r="G669" s="72"/>
      <c r="H669" s="77"/>
      <c r="I669" s="77"/>
      <c r="J669" s="77"/>
      <c r="K669" s="51"/>
      <c r="L669" s="31"/>
      <c r="M669" s="77"/>
      <c r="N669" s="52"/>
      <c r="O669" s="31"/>
      <c r="P669" s="51"/>
      <c r="Q669" s="110"/>
      <c r="S669" s="51"/>
      <c r="T669" s="51"/>
      <c r="Y669" s="77"/>
      <c r="Z669" s="77"/>
      <c r="AA669" s="77"/>
      <c r="AB669" s="77"/>
      <c r="AC669" s="77"/>
    </row>
    <row r="670" spans="1:29">
      <c r="A670" s="62" t="s">
        <v>116</v>
      </c>
      <c r="B670" s="26"/>
      <c r="C670" s="23"/>
      <c r="D670" s="102"/>
      <c r="F670" s="154"/>
      <c r="G670" s="72"/>
      <c r="H670" s="77">
        <f>+SUBTOTAL(9,H570:H669)</f>
        <v>5639593821.1000023</v>
      </c>
      <c r="I670" s="77">
        <f>+SUBTOTAL(9,I570:I669)</f>
        <v>2159963657</v>
      </c>
      <c r="J670" s="77">
        <f>+SUBTOTAL(9,J570:J669)</f>
        <v>5618791232.5067959</v>
      </c>
      <c r="K670" s="51"/>
      <c r="L670" s="31"/>
      <c r="M670" s="77">
        <f>+SUBTOTAL(9,M570:M669)</f>
        <v>140346419.99243733</v>
      </c>
      <c r="N670" s="52">
        <f>+ROUND(M670/H670*100,2)</f>
        <v>2.4900000000000002</v>
      </c>
      <c r="O670" s="31"/>
      <c r="P670" s="51">
        <f>+SUBTOTAL(9,P570:P669)</f>
        <v>142293278</v>
      </c>
      <c r="Q670" s="110">
        <f>+SUBTOTAL(9,Q570:Q669)</f>
        <v>-1946858.0075626306</v>
      </c>
      <c r="S670" s="51">
        <f>+SUBTOTAL(9,S570:S669)</f>
        <v>150375384</v>
      </c>
      <c r="T670" s="51">
        <f>+SUBTOTAL(9,T570:T669)</f>
        <v>-10028964.00756263</v>
      </c>
      <c r="Y670" s="77">
        <f t="shared" ref="Y670:AC670" si="804">+SUBTOTAL(9,Y570:Y669)</f>
        <v>56412275.974605873</v>
      </c>
      <c r="Z670" s="77">
        <f t="shared" ref="Z670" si="805">+SUBTOTAL(9,Z570:Z669)</f>
        <v>58339442</v>
      </c>
      <c r="AA670" s="77">
        <f t="shared" si="804"/>
        <v>-1927166.025394124</v>
      </c>
      <c r="AB670" s="77">
        <f t="shared" si="804"/>
        <v>62029227</v>
      </c>
      <c r="AC670" s="77">
        <f t="shared" si="804"/>
        <v>-5616951.0253941249</v>
      </c>
    </row>
    <row r="671" spans="1:29">
      <c r="A671" s="62"/>
      <c r="B671" s="26"/>
      <c r="C671" s="23"/>
      <c r="D671" s="102"/>
      <c r="F671" s="154"/>
      <c r="G671" s="72"/>
      <c r="H671" s="74"/>
      <c r="I671" s="74"/>
      <c r="J671" s="74"/>
      <c r="K671" s="13"/>
      <c r="L671" s="31"/>
      <c r="M671" s="74"/>
      <c r="N671" s="27"/>
      <c r="O671" s="31"/>
      <c r="P671" s="13"/>
      <c r="Q671" s="122"/>
      <c r="S671" s="13"/>
      <c r="T671" s="13"/>
      <c r="Y671" s="74"/>
      <c r="Z671" s="74"/>
      <c r="AA671" s="74"/>
      <c r="AB671" s="74"/>
      <c r="AC671" s="74"/>
    </row>
    <row r="672" spans="1:29">
      <c r="A672" s="14"/>
      <c r="B672" s="17"/>
      <c r="C672" s="23"/>
      <c r="D672" s="102"/>
      <c r="F672" s="154"/>
      <c r="G672" s="72"/>
      <c r="H672" s="74"/>
      <c r="I672" s="74"/>
      <c r="J672" s="74"/>
      <c r="K672" s="13"/>
      <c r="L672" s="31"/>
      <c r="M672" s="74"/>
      <c r="N672" s="27"/>
      <c r="O672" s="31"/>
      <c r="P672" s="13"/>
      <c r="Q672" s="122"/>
      <c r="S672" s="13"/>
      <c r="T672" s="13"/>
    </row>
    <row r="673" spans="1:40">
      <c r="A673" s="46" t="s">
        <v>117</v>
      </c>
      <c r="B673" s="59"/>
      <c r="C673" s="23"/>
      <c r="D673" s="102"/>
      <c r="F673" s="154"/>
      <c r="G673" s="72"/>
      <c r="H673" s="74"/>
      <c r="I673" s="74"/>
      <c r="J673" s="74"/>
      <c r="K673" s="13"/>
      <c r="L673" s="31"/>
      <c r="M673" s="74"/>
      <c r="N673" s="27"/>
      <c r="O673" s="31"/>
      <c r="P673" s="13"/>
      <c r="Q673" s="122"/>
      <c r="S673" s="13"/>
      <c r="T673" s="13"/>
    </row>
    <row r="674" spans="1:40">
      <c r="A674" s="46"/>
      <c r="B674" s="59"/>
      <c r="C674" s="23"/>
      <c r="D674" s="102"/>
      <c r="F674" s="154"/>
      <c r="G674" s="72"/>
      <c r="H674" s="74"/>
      <c r="I674" s="74"/>
      <c r="J674" s="74"/>
      <c r="K674" s="13"/>
      <c r="L674" s="31"/>
      <c r="M674" s="74"/>
      <c r="N674" s="27"/>
      <c r="O674" s="31"/>
      <c r="P674" s="13"/>
      <c r="Q674" s="122"/>
      <c r="S674" s="13"/>
      <c r="T674" s="13"/>
    </row>
    <row r="675" spans="1:40">
      <c r="A675" s="6"/>
      <c r="B675" s="61" t="s">
        <v>118</v>
      </c>
      <c r="C675" s="23"/>
      <c r="D675" s="102"/>
      <c r="F675" s="154"/>
      <c r="G675" s="72"/>
      <c r="H675" s="74"/>
      <c r="I675" s="74"/>
      <c r="J675" s="74"/>
      <c r="K675" s="13"/>
      <c r="L675" s="31"/>
      <c r="M675" s="74"/>
      <c r="N675" s="27"/>
      <c r="O675" s="31"/>
      <c r="P675" s="13"/>
      <c r="Q675" s="122"/>
      <c r="S675" s="13"/>
      <c r="T675" s="13"/>
    </row>
    <row r="676" spans="1:40">
      <c r="A676" s="14">
        <v>390</v>
      </c>
      <c r="B676" s="15" t="s">
        <v>162</v>
      </c>
      <c r="C676" s="138" t="s">
        <v>175</v>
      </c>
      <c r="D676" s="102"/>
      <c r="E676" s="139" t="s">
        <v>220</v>
      </c>
      <c r="F676" s="155">
        <v>-10</v>
      </c>
      <c r="G676" s="91">
        <f t="shared" ref="G676:G681" si="806">H676*F676/100</f>
        <v>-7335160.051</v>
      </c>
      <c r="H676" s="74">
        <v>73351600.510000005</v>
      </c>
      <c r="I676" s="74">
        <v>14715408</v>
      </c>
      <c r="J676" s="74">
        <f t="shared" ref="J676" si="807">H676-G676-I676</f>
        <v>65971352.561000004</v>
      </c>
      <c r="K676" s="13"/>
      <c r="L676" s="32"/>
      <c r="M676" s="74">
        <f t="shared" ref="M676:M681" si="808">J676/O676</f>
        <v>1459543.1982522125</v>
      </c>
      <c r="N676" s="68">
        <f t="shared" ref="N676" si="809">M676/H676</f>
        <v>1.9897905268655088E-2</v>
      </c>
      <c r="O676" s="32">
        <v>45.2</v>
      </c>
      <c r="P676" s="13">
        <v>1459003</v>
      </c>
      <c r="Q676" s="119">
        <f t="shared" ref="Q676:Q681" si="810">M676-P676</f>
        <v>540.19825221248902</v>
      </c>
      <c r="S676" s="13">
        <v>1471556</v>
      </c>
      <c r="T676" s="13">
        <f t="shared" ref="T676:T681" si="811">M676-S676</f>
        <v>-12012.801747787511</v>
      </c>
      <c r="V676" s="128" t="s">
        <v>365</v>
      </c>
      <c r="W676" s="129" t="s">
        <v>366</v>
      </c>
      <c r="Y676" s="79">
        <f t="shared" ref="Y676:Y681" si="812">(M676*AE676*AI676)+(M676*AF676*AJ676)</f>
        <v>348023.03247822257</v>
      </c>
      <c r="Z676" s="79">
        <f t="shared" ref="Z676:Z681" si="813">(P676*AE676*AI676)+(P676*AF676*AJ676)+(P676*AG676*AK676)+(P676*AH676*AL676)</f>
        <v>347894.22407152416</v>
      </c>
      <c r="AA676" s="79">
        <f t="shared" ref="AA676:AA681" si="814">(Q676*AE676*AI676)+(Q676*AF676*AJ676)</f>
        <v>128.80840669844915</v>
      </c>
      <c r="AB676" s="79">
        <f t="shared" ref="AB676:AB681" si="815">(S676*AE676*AI676)+(S676*AF676*AJ676)</f>
        <v>350887.44354726881</v>
      </c>
      <c r="AC676" s="79">
        <f t="shared" ref="AC676:AC681" si="816">(T676*AE676*AI676)+(T676*AF676*AJ676)</f>
        <v>-2864.4110690461807</v>
      </c>
      <c r="AE676" s="132">
        <v>3.8899999999999997E-2</v>
      </c>
      <c r="AF676" s="132">
        <v>0.52880000000000005</v>
      </c>
      <c r="AI676" s="132">
        <v>0.4200275</v>
      </c>
      <c r="AJ676" s="132">
        <v>0.4200217</v>
      </c>
      <c r="AM676" s="24"/>
      <c r="AN676" s="137">
        <f>(H676*AE676*AI676)+(H676*AF676*AJ676)+(H676*AG676*AK676)+(H676*AH676*AL676)</f>
        <v>17490435.690557778</v>
      </c>
    </row>
    <row r="677" spans="1:40">
      <c r="A677" s="14">
        <v>392.01</v>
      </c>
      <c r="B677" s="15" t="s">
        <v>375</v>
      </c>
      <c r="C677" s="138" t="s">
        <v>175</v>
      </c>
      <c r="D677" s="102"/>
      <c r="E677" s="139" t="s">
        <v>321</v>
      </c>
      <c r="F677" s="155">
        <v>10</v>
      </c>
      <c r="G677" s="91">
        <f t="shared" si="806"/>
        <v>1130940.7759999998</v>
      </c>
      <c r="H677" s="74">
        <v>11309407.76</v>
      </c>
      <c r="I677" s="74">
        <v>4261815</v>
      </c>
      <c r="J677" s="74">
        <f t="shared" ref="J677:J681" si="817">H677-G677-I677</f>
        <v>5916651.9839999992</v>
      </c>
      <c r="K677" s="13"/>
      <c r="L677" s="32"/>
      <c r="M677" s="74">
        <f t="shared" si="808"/>
        <v>833331.26535211259</v>
      </c>
      <c r="N677" s="68">
        <f t="shared" ref="N677:N681" si="818">M677/H677</f>
        <v>7.3684783769093903E-2</v>
      </c>
      <c r="O677" s="32">
        <v>7.1</v>
      </c>
      <c r="P677" s="13">
        <v>829513</v>
      </c>
      <c r="Q677" s="119">
        <f t="shared" si="810"/>
        <v>3818.2653521125903</v>
      </c>
      <c r="S677" s="13">
        <v>794603</v>
      </c>
      <c r="T677" s="13">
        <f t="shared" si="811"/>
        <v>38728.26535211259</v>
      </c>
      <c r="V677" s="123" t="s">
        <v>356</v>
      </c>
      <c r="W677" s="129" t="s">
        <v>357</v>
      </c>
      <c r="Y677" s="79">
        <f t="shared" si="812"/>
        <v>36927.117753935992</v>
      </c>
      <c r="Z677" s="79">
        <f t="shared" si="813"/>
        <v>36757.920292931507</v>
      </c>
      <c r="AA677" s="79">
        <f t="shared" si="814"/>
        <v>169.19746100448896</v>
      </c>
      <c r="AB677" s="79">
        <f t="shared" si="815"/>
        <v>35210.965637095811</v>
      </c>
      <c r="AC677" s="79">
        <f t="shared" si="816"/>
        <v>1716.1521168401889</v>
      </c>
      <c r="AE677" s="132">
        <v>6.2399999999999997E-2</v>
      </c>
      <c r="AF677" s="132">
        <v>4.3099999999999999E-2</v>
      </c>
      <c r="AI677" s="132">
        <v>0.4200275</v>
      </c>
      <c r="AJ677" s="132">
        <v>0.4200217</v>
      </c>
      <c r="AN677" s="137">
        <f t="shared" ref="AN677:AN681" si="819">(H677*AE677*AI677)+(H677*AF677*AJ677)+(H677*AG677*AK677)+(H677*AH677*AL677)</f>
        <v>501149.84213911183</v>
      </c>
    </row>
    <row r="678" spans="1:40">
      <c r="A678" s="14">
        <v>392.05</v>
      </c>
      <c r="B678" s="15" t="s">
        <v>376</v>
      </c>
      <c r="C678" s="138" t="s">
        <v>175</v>
      </c>
      <c r="D678" s="102"/>
      <c r="E678" s="139" t="s">
        <v>322</v>
      </c>
      <c r="F678" s="155">
        <v>10</v>
      </c>
      <c r="G678" s="91">
        <f t="shared" si="806"/>
        <v>1084761.024</v>
      </c>
      <c r="H678" s="74">
        <v>10847610.24</v>
      </c>
      <c r="I678" s="74">
        <v>4264475</v>
      </c>
      <c r="J678" s="74">
        <f t="shared" si="817"/>
        <v>5498374.216</v>
      </c>
      <c r="K678" s="13"/>
      <c r="L678" s="32"/>
      <c r="M678" s="74">
        <f t="shared" si="808"/>
        <v>597649.37130434788</v>
      </c>
      <c r="N678" s="68">
        <f t="shared" si="818"/>
        <v>5.5095026285194762E-2</v>
      </c>
      <c r="O678" s="32">
        <v>9.1999999999999993</v>
      </c>
      <c r="P678" s="13">
        <v>594608</v>
      </c>
      <c r="Q678" s="119">
        <f t="shared" si="810"/>
        <v>3041.3713043478783</v>
      </c>
      <c r="S678" s="13">
        <v>601106</v>
      </c>
      <c r="T678" s="13">
        <f t="shared" si="811"/>
        <v>-3456.6286956521217</v>
      </c>
      <c r="V678" s="123">
        <v>9.35E-2</v>
      </c>
      <c r="W678" s="124">
        <v>0.4200275</v>
      </c>
      <c r="Y678" s="79">
        <f t="shared" si="812"/>
        <v>23471.227517067709</v>
      </c>
      <c r="Z678" s="79">
        <f t="shared" si="813"/>
        <v>23351.785045819997</v>
      </c>
      <c r="AA678" s="79">
        <f t="shared" si="814"/>
        <v>119.44247124770749</v>
      </c>
      <c r="AB678" s="79">
        <f t="shared" si="815"/>
        <v>23606.9782138025</v>
      </c>
      <c r="AC678" s="79">
        <f t="shared" si="816"/>
        <v>-135.75069673479251</v>
      </c>
      <c r="AE678" s="132">
        <v>9.35E-2</v>
      </c>
      <c r="AI678" s="132">
        <v>0.4200275</v>
      </c>
      <c r="AN678" s="137">
        <f t="shared" si="819"/>
        <v>426013.54604262958</v>
      </c>
    </row>
    <row r="679" spans="1:40">
      <c r="A679" s="14">
        <v>392.09</v>
      </c>
      <c r="B679" s="15" t="s">
        <v>377</v>
      </c>
      <c r="C679" s="138" t="s">
        <v>175</v>
      </c>
      <c r="D679" s="102"/>
      <c r="E679" s="139" t="s">
        <v>237</v>
      </c>
      <c r="F679" s="155">
        <v>15</v>
      </c>
      <c r="G679" s="91">
        <f t="shared" si="806"/>
        <v>514377.10499999998</v>
      </c>
      <c r="H679" s="74">
        <v>3429180.7</v>
      </c>
      <c r="I679" s="74">
        <v>818188</v>
      </c>
      <c r="J679" s="74">
        <f t="shared" si="817"/>
        <v>2096615.5950000002</v>
      </c>
      <c r="K679" s="13"/>
      <c r="L679" s="32"/>
      <c r="M679" s="74">
        <f t="shared" si="808"/>
        <v>87358.983125000013</v>
      </c>
      <c r="N679" s="68">
        <f t="shared" si="818"/>
        <v>2.5475176366471446E-2</v>
      </c>
      <c r="O679" s="32">
        <v>24</v>
      </c>
      <c r="P679" s="13">
        <v>87313</v>
      </c>
      <c r="Q679" s="119">
        <f t="shared" si="810"/>
        <v>45.983125000013388</v>
      </c>
      <c r="S679" s="13">
        <v>85159</v>
      </c>
      <c r="T679" s="13">
        <f t="shared" si="811"/>
        <v>2199.9831250000134</v>
      </c>
      <c r="V679" s="128" t="s">
        <v>359</v>
      </c>
      <c r="W679" s="129" t="s">
        <v>357</v>
      </c>
      <c r="Y679" s="79">
        <f t="shared" si="812"/>
        <v>6912.9022101368264</v>
      </c>
      <c r="Z679" s="79">
        <f t="shared" si="813"/>
        <v>6909.2634676163598</v>
      </c>
      <c r="AA679" s="79">
        <f t="shared" si="814"/>
        <v>3.6387425204657844</v>
      </c>
      <c r="AB679" s="79">
        <f t="shared" si="815"/>
        <v>6738.8128645074803</v>
      </c>
      <c r="AC679" s="79">
        <f t="shared" si="816"/>
        <v>174.08934562934579</v>
      </c>
      <c r="AE679" s="132">
        <v>6.7999999999999996E-3</v>
      </c>
      <c r="AF679" s="132">
        <v>0.18160000000000001</v>
      </c>
      <c r="AI679" s="132">
        <v>0.4200275</v>
      </c>
      <c r="AJ679" s="132">
        <v>0.4200217</v>
      </c>
      <c r="AN679" s="137">
        <f t="shared" si="819"/>
        <v>271358.36512735905</v>
      </c>
    </row>
    <row r="680" spans="1:40">
      <c r="A680" s="14">
        <v>396.03</v>
      </c>
      <c r="B680" s="15" t="s">
        <v>119</v>
      </c>
      <c r="C680" s="138" t="s">
        <v>175</v>
      </c>
      <c r="D680" s="102"/>
      <c r="E680" s="139" t="s">
        <v>323</v>
      </c>
      <c r="F680" s="155">
        <v>15</v>
      </c>
      <c r="G680" s="91">
        <f t="shared" si="806"/>
        <v>1179298.2990000001</v>
      </c>
      <c r="H680" s="74">
        <v>7861988.6600000001</v>
      </c>
      <c r="I680" s="74">
        <v>2395766</v>
      </c>
      <c r="J680" s="74">
        <f t="shared" si="817"/>
        <v>4286924.3609999996</v>
      </c>
      <c r="K680" s="13"/>
      <c r="L680" s="32"/>
      <c r="M680" s="74">
        <f t="shared" si="808"/>
        <v>714487.39349999989</v>
      </c>
      <c r="N680" s="68">
        <f t="shared" si="818"/>
        <v>9.08787107688349E-2</v>
      </c>
      <c r="O680" s="32">
        <v>6</v>
      </c>
      <c r="P680" s="13">
        <v>715512</v>
      </c>
      <c r="Q680" s="119">
        <f t="shared" si="810"/>
        <v>-1024.6065000001108</v>
      </c>
      <c r="S680" s="13">
        <v>544873</v>
      </c>
      <c r="T680" s="13">
        <f t="shared" si="811"/>
        <v>169614.39349999989</v>
      </c>
      <c r="V680" s="123">
        <v>9.7999999999999997E-3</v>
      </c>
      <c r="W680" s="124">
        <v>0.4200275</v>
      </c>
      <c r="Y680" s="79">
        <f t="shared" si="812"/>
        <v>2941.0226659985478</v>
      </c>
      <c r="Z680" s="79">
        <f t="shared" si="813"/>
        <v>2945.2402224840002</v>
      </c>
      <c r="AA680" s="79">
        <f t="shared" si="814"/>
        <v>-4.2175564854522065</v>
      </c>
      <c r="AB680" s="79">
        <f t="shared" si="815"/>
        <v>2242.8441112734999</v>
      </c>
      <c r="AC680" s="79">
        <f t="shared" si="816"/>
        <v>698.17855472504777</v>
      </c>
      <c r="AE680" s="132">
        <v>9.7999999999999997E-3</v>
      </c>
      <c r="AI680" s="132">
        <v>0.4200275</v>
      </c>
      <c r="AN680" s="137">
        <f t="shared" si="819"/>
        <v>32362.06413050387</v>
      </c>
    </row>
    <row r="681" spans="1:40">
      <c r="A681" s="14">
        <v>396.07</v>
      </c>
      <c r="B681" s="15" t="s">
        <v>120</v>
      </c>
      <c r="C681" s="138" t="s">
        <v>175</v>
      </c>
      <c r="D681" s="102"/>
      <c r="E681" s="139" t="s">
        <v>231</v>
      </c>
      <c r="F681" s="155">
        <v>20</v>
      </c>
      <c r="G681" s="91">
        <f t="shared" si="806"/>
        <v>5617313.4020000007</v>
      </c>
      <c r="H681" s="74">
        <v>28086567.010000002</v>
      </c>
      <c r="I681" s="74">
        <v>7000292</v>
      </c>
      <c r="J681" s="74">
        <f t="shared" si="817"/>
        <v>15468961.608000003</v>
      </c>
      <c r="K681" s="13"/>
      <c r="L681" s="32"/>
      <c r="M681" s="74">
        <f t="shared" si="808"/>
        <v>1473234.438857143</v>
      </c>
      <c r="N681" s="68">
        <f t="shared" si="818"/>
        <v>5.2453346766538234E-2</v>
      </c>
      <c r="O681" s="32">
        <v>10.5</v>
      </c>
      <c r="P681" s="13">
        <v>1477834</v>
      </c>
      <c r="Q681" s="119">
        <f t="shared" si="810"/>
        <v>-4599.5611428569537</v>
      </c>
      <c r="S681" s="13">
        <v>1360069</v>
      </c>
      <c r="T681" s="13">
        <f t="shared" si="811"/>
        <v>113165.43885714305</v>
      </c>
      <c r="V681" s="123">
        <v>5.8299999999999998E-2</v>
      </c>
      <c r="W681" s="124">
        <v>0.4200275</v>
      </c>
      <c r="Y681" s="79">
        <f t="shared" si="812"/>
        <v>36075.9804329701</v>
      </c>
      <c r="Z681" s="79">
        <f t="shared" si="813"/>
        <v>36188.612661360501</v>
      </c>
      <c r="AA681" s="79">
        <f t="shared" si="814"/>
        <v>-112.63222839039766</v>
      </c>
      <c r="AB681" s="79">
        <f t="shared" si="815"/>
        <v>33304.83006462425</v>
      </c>
      <c r="AC681" s="79">
        <f t="shared" si="816"/>
        <v>2771.1503683458523</v>
      </c>
      <c r="AE681" s="132">
        <v>5.8299999999999998E-2</v>
      </c>
      <c r="AI681" s="132">
        <v>0.4200275</v>
      </c>
      <c r="AN681" s="137">
        <f t="shared" si="819"/>
        <v>687772.70959541877</v>
      </c>
    </row>
    <row r="682" spans="1:40">
      <c r="A682" s="6"/>
      <c r="B682" s="48" t="s">
        <v>121</v>
      </c>
      <c r="C682" s="23"/>
      <c r="D682" s="102"/>
      <c r="F682" s="154"/>
      <c r="G682" s="72"/>
      <c r="H682" s="83">
        <f>+SUBTOTAL(9,H676:H681)</f>
        <v>134886354.88</v>
      </c>
      <c r="I682" s="83">
        <f>+SUBTOTAL(9,I676:I681)</f>
        <v>33455944</v>
      </c>
      <c r="J682" s="83">
        <f>+SUBTOTAL(9,J676:J681)</f>
        <v>99238880.325000018</v>
      </c>
      <c r="K682" s="51"/>
      <c r="L682" s="31"/>
      <c r="M682" s="83">
        <f>+SUBTOTAL(9,M676:M681)</f>
        <v>5165604.650390815</v>
      </c>
      <c r="N682" s="52">
        <f>+ROUND(M682/H682*100,2)</f>
        <v>3.83</v>
      </c>
      <c r="O682" s="31"/>
      <c r="P682" s="106">
        <f>+SUBTOTAL(9,P676:P681)</f>
        <v>5163783</v>
      </c>
      <c r="Q682" s="109">
        <f>+SUBTOTAL(9,Q676:Q681)</f>
        <v>1821.6503908159066</v>
      </c>
      <c r="S682" s="106">
        <f>+SUBTOTAL(9,S676:S681)</f>
        <v>4857366</v>
      </c>
      <c r="T682" s="106">
        <f>+SUBTOTAL(9,T676:T681)</f>
        <v>308238.65039081592</v>
      </c>
      <c r="V682" s="128"/>
      <c r="W682" s="129"/>
      <c r="Y682" s="83">
        <f t="shared" ref="Y682:AC682" si="820">+SUBTOTAL(9,Y676:Y681)</f>
        <v>454351.2830583317</v>
      </c>
      <c r="Z682" s="83">
        <f t="shared" si="820"/>
        <v>454047.04576173646</v>
      </c>
      <c r="AA682" s="83">
        <f t="shared" si="820"/>
        <v>304.23729659526151</v>
      </c>
      <c r="AB682" s="83">
        <f t="shared" si="820"/>
        <v>451991.87443857233</v>
      </c>
      <c r="AC682" s="83">
        <f t="shared" si="820"/>
        <v>2359.4086197594615</v>
      </c>
    </row>
    <row r="683" spans="1:40">
      <c r="A683" s="14"/>
      <c r="B683" s="17"/>
      <c r="C683" s="23"/>
      <c r="D683" s="102"/>
      <c r="F683" s="154"/>
      <c r="G683" s="72"/>
      <c r="H683" s="74"/>
      <c r="I683" s="74"/>
      <c r="J683" s="74"/>
      <c r="K683" s="13"/>
      <c r="L683" s="31"/>
      <c r="M683" s="74"/>
      <c r="N683" s="27"/>
      <c r="O683" s="31"/>
      <c r="P683" s="13"/>
      <c r="Q683" s="122"/>
      <c r="S683" s="13"/>
      <c r="T683" s="13"/>
    </row>
    <row r="684" spans="1:40">
      <c r="A684" s="6"/>
      <c r="B684" s="61" t="s">
        <v>122</v>
      </c>
      <c r="C684" s="23"/>
      <c r="D684" s="102"/>
      <c r="F684" s="154"/>
      <c r="G684" s="72"/>
      <c r="H684" s="74"/>
      <c r="I684" s="74"/>
      <c r="J684" s="74"/>
      <c r="K684" s="13"/>
      <c r="L684" s="31"/>
      <c r="M684" s="74"/>
      <c r="N684" s="27"/>
      <c r="O684" s="31"/>
      <c r="P684" s="13"/>
      <c r="Q684" s="122"/>
      <c r="S684" s="13"/>
      <c r="T684" s="13"/>
    </row>
    <row r="685" spans="1:40">
      <c r="A685" s="14">
        <v>390</v>
      </c>
      <c r="B685" s="15" t="s">
        <v>162</v>
      </c>
      <c r="C685" s="138" t="s">
        <v>175</v>
      </c>
      <c r="D685" s="102"/>
      <c r="E685" s="139" t="s">
        <v>217</v>
      </c>
      <c r="F685" s="155">
        <v>-10</v>
      </c>
      <c r="G685" s="91">
        <f t="shared" ref="G685:G690" si="821">H685*F685/100</f>
        <v>-1108962.8369999998</v>
      </c>
      <c r="H685" s="74">
        <v>11089628.369999999</v>
      </c>
      <c r="I685" s="74">
        <v>4877421</v>
      </c>
      <c r="J685" s="74">
        <f t="shared" ref="J685:J690" si="822">H685-G685-I685</f>
        <v>7321170.2069999985</v>
      </c>
      <c r="K685" s="13"/>
      <c r="L685" s="32"/>
      <c r="M685" s="74">
        <f t="shared" ref="M685:M690" si="823">J685/O685</f>
        <v>276270.57384905656</v>
      </c>
      <c r="N685" s="68">
        <f t="shared" ref="N685:N690" si="824">M685/H685</f>
        <v>2.4912518673432929E-2</v>
      </c>
      <c r="O685" s="32">
        <v>26.5</v>
      </c>
      <c r="P685" s="13">
        <v>276524</v>
      </c>
      <c r="Q685" s="119">
        <f t="shared" ref="Q685:Q690" si="825">M685-P685</f>
        <v>-253.42615094344364</v>
      </c>
      <c r="S685" s="13">
        <v>276512</v>
      </c>
      <c r="T685" s="13">
        <f t="shared" ref="T685:T690" si="826">M685-S685</f>
        <v>-241.42615094344364</v>
      </c>
      <c r="V685" s="123">
        <v>6.8999999999999999E-3</v>
      </c>
      <c r="W685" s="124">
        <v>0.4200275</v>
      </c>
      <c r="Y685" s="79">
        <f t="shared" ref="Y685:Y690" si="827">(M685*AE685*AI685)+(M685*AF685*AJ685)</f>
        <v>800.68454535595379</v>
      </c>
      <c r="Z685" s="79">
        <f t="shared" ref="Z685:Z690" si="828">P685*W685</f>
        <v>116147.68441</v>
      </c>
      <c r="AA685" s="79">
        <f t="shared" ref="AA685:AA690" si="829">(Q685*AE685*AI685)+(Q685*AF685*AJ685)</f>
        <v>-0.73447707304624121</v>
      </c>
      <c r="AB685" s="79">
        <f t="shared" ref="AB685:AB690" si="830">(S685*AE685*AI685)+(S685*AF685*AJ685)</f>
        <v>801.38424415200006</v>
      </c>
      <c r="AC685" s="79">
        <f t="shared" ref="AC685:AC690" si="831">(T685*AE685*AI685)+(T685*AF685*AJ685)</f>
        <v>-0.69969879604624119</v>
      </c>
      <c r="AE685" s="123">
        <v>6.8999999999999999E-3</v>
      </c>
      <c r="AI685" s="124">
        <v>0.4200275</v>
      </c>
      <c r="AN685" s="137">
        <f t="shared" ref="AN685:AN690" si="832">(H685*AE685*AI685)+(H685*AF685*AJ685)+(H685*AG685*AK685)+(H685*AH685*AL685)</f>
        <v>32139.847273243206</v>
      </c>
    </row>
    <row r="686" spans="1:40">
      <c r="A686" s="14">
        <v>392.01</v>
      </c>
      <c r="B686" s="15" t="s">
        <v>375</v>
      </c>
      <c r="C686" s="138" t="s">
        <v>175</v>
      </c>
      <c r="D686" s="102"/>
      <c r="E686" s="139" t="s">
        <v>324</v>
      </c>
      <c r="F686" s="155">
        <v>10</v>
      </c>
      <c r="G686" s="91">
        <f t="shared" si="821"/>
        <v>237734.177</v>
      </c>
      <c r="H686" s="74">
        <v>2377341.77</v>
      </c>
      <c r="I686" s="74">
        <v>979759</v>
      </c>
      <c r="J686" s="74">
        <f t="shared" si="822"/>
        <v>1159848.5929999999</v>
      </c>
      <c r="K686" s="13"/>
      <c r="L686" s="32"/>
      <c r="M686" s="74">
        <f t="shared" si="823"/>
        <v>139740.79433734936</v>
      </c>
      <c r="N686" s="68">
        <f t="shared" si="824"/>
        <v>5.878027135212846E-2</v>
      </c>
      <c r="O686" s="32">
        <v>8.3000000000000007</v>
      </c>
      <c r="P686" s="13">
        <v>139383</v>
      </c>
      <c r="Q686" s="119">
        <f t="shared" si="825"/>
        <v>357.79433734936174</v>
      </c>
      <c r="S686" s="13">
        <v>134170</v>
      </c>
      <c r="T686" s="13">
        <f t="shared" si="826"/>
        <v>5570.7943373493617</v>
      </c>
      <c r="V686" s="123">
        <v>0.29770000000000002</v>
      </c>
      <c r="W686" s="124">
        <v>0.4200275</v>
      </c>
      <c r="Y686" s="79">
        <f t="shared" si="827"/>
        <v>17473.49450212418</v>
      </c>
      <c r="Z686" s="79">
        <f t="shared" si="828"/>
        <v>58544.693032499999</v>
      </c>
      <c r="AA686" s="79">
        <f t="shared" si="829"/>
        <v>44.739386348931397</v>
      </c>
      <c r="AB686" s="79">
        <f t="shared" si="830"/>
        <v>16776.9101962475</v>
      </c>
      <c r="AC686" s="79">
        <f t="shared" si="831"/>
        <v>696.58430587668147</v>
      </c>
      <c r="AE686" s="123">
        <v>0.29770000000000002</v>
      </c>
      <c r="AI686" s="124">
        <v>0.4200275</v>
      </c>
      <c r="AN686" s="137">
        <f t="shared" si="832"/>
        <v>297268.01357291557</v>
      </c>
    </row>
    <row r="687" spans="1:40">
      <c r="A687" s="14">
        <v>392.05</v>
      </c>
      <c r="B687" s="15" t="s">
        <v>376</v>
      </c>
      <c r="C687" s="138" t="s">
        <v>175</v>
      </c>
      <c r="D687" s="102"/>
      <c r="E687" s="139" t="s">
        <v>325</v>
      </c>
      <c r="F687" s="155">
        <v>10</v>
      </c>
      <c r="G687" s="91">
        <f t="shared" si="821"/>
        <v>439820.82500000001</v>
      </c>
      <c r="H687" s="74">
        <v>4398208.25</v>
      </c>
      <c r="I687" s="74">
        <v>1544889</v>
      </c>
      <c r="J687" s="74">
        <f t="shared" si="822"/>
        <v>2413498.4249999998</v>
      </c>
      <c r="K687" s="13"/>
      <c r="L687" s="32"/>
      <c r="M687" s="74">
        <f t="shared" si="823"/>
        <v>219408.94772727272</v>
      </c>
      <c r="N687" s="68">
        <f t="shared" si="824"/>
        <v>4.9885984304465968E-2</v>
      </c>
      <c r="O687" s="32">
        <v>11</v>
      </c>
      <c r="P687" s="13">
        <v>219217</v>
      </c>
      <c r="Q687" s="119">
        <f t="shared" si="825"/>
        <v>191.94772727272357</v>
      </c>
      <c r="S687" s="13">
        <v>206177</v>
      </c>
      <c r="T687" s="13">
        <f t="shared" si="826"/>
        <v>13231.947727272724</v>
      </c>
      <c r="V687" s="123">
        <v>0.35010000000000002</v>
      </c>
      <c r="W687" s="124">
        <v>0.4200275</v>
      </c>
      <c r="Y687" s="79">
        <f t="shared" si="827"/>
        <v>32264.442906210119</v>
      </c>
      <c r="Z687" s="79">
        <f t="shared" si="828"/>
        <v>92077.1684675</v>
      </c>
      <c r="AA687" s="79">
        <f t="shared" si="829"/>
        <v>28.226225738367074</v>
      </c>
      <c r="AB687" s="79">
        <f t="shared" si="830"/>
        <v>30318.663454611749</v>
      </c>
      <c r="AC687" s="79">
        <f t="shared" si="831"/>
        <v>1945.7794515983671</v>
      </c>
      <c r="AE687" s="123">
        <v>0.35010000000000002</v>
      </c>
      <c r="AI687" s="124">
        <v>0.4200275</v>
      </c>
      <c r="AN687" s="137">
        <f t="shared" si="832"/>
        <v>646763.68234597892</v>
      </c>
    </row>
    <row r="688" spans="1:40">
      <c r="A688" s="14">
        <v>392.09</v>
      </c>
      <c r="B688" s="15" t="s">
        <v>377</v>
      </c>
      <c r="C688" s="138" t="s">
        <v>175</v>
      </c>
      <c r="D688" s="102"/>
      <c r="E688" s="139" t="s">
        <v>233</v>
      </c>
      <c r="F688" s="155">
        <v>15</v>
      </c>
      <c r="G688" s="91">
        <f t="shared" si="821"/>
        <v>119060.40600000002</v>
      </c>
      <c r="H688" s="74">
        <v>793736.04</v>
      </c>
      <c r="I688" s="74">
        <v>194486</v>
      </c>
      <c r="J688" s="74">
        <f t="shared" si="822"/>
        <v>480189.63400000008</v>
      </c>
      <c r="K688" s="13"/>
      <c r="L688" s="32"/>
      <c r="M688" s="74">
        <f t="shared" si="823"/>
        <v>18757.407578125003</v>
      </c>
      <c r="N688" s="68">
        <f t="shared" si="824"/>
        <v>2.3631795247857211E-2</v>
      </c>
      <c r="O688" s="32">
        <v>25.6</v>
      </c>
      <c r="P688" s="13">
        <v>18791</v>
      </c>
      <c r="Q688" s="119">
        <f t="shared" si="825"/>
        <v>-33.592421874996944</v>
      </c>
      <c r="S688" s="13">
        <v>18300</v>
      </c>
      <c r="T688" s="13">
        <f t="shared" si="826"/>
        <v>457.40757812500306</v>
      </c>
      <c r="V688" s="123">
        <v>0.10879999999999999</v>
      </c>
      <c r="W688" s="124">
        <v>0.4200275</v>
      </c>
      <c r="Y688" s="79">
        <f t="shared" si="827"/>
        <v>857.1946188534738</v>
      </c>
      <c r="Z688" s="79">
        <f t="shared" si="828"/>
        <v>7892.7367525</v>
      </c>
      <c r="AA688" s="79">
        <f t="shared" si="829"/>
        <v>-1.5351398185261103</v>
      </c>
      <c r="AB688" s="79">
        <f t="shared" si="830"/>
        <v>836.29155359999993</v>
      </c>
      <c r="AC688" s="79">
        <f t="shared" si="831"/>
        <v>20.903065253473887</v>
      </c>
      <c r="AE688" s="123">
        <v>0.10879999999999999</v>
      </c>
      <c r="AI688" s="124">
        <v>0.4200275</v>
      </c>
      <c r="AN688" s="137">
        <f t="shared" si="832"/>
        <v>36272.936942071676</v>
      </c>
    </row>
    <row r="689" spans="1:40">
      <c r="A689" s="14">
        <v>396.03</v>
      </c>
      <c r="B689" s="15" t="s">
        <v>119</v>
      </c>
      <c r="C689" s="138" t="s">
        <v>175</v>
      </c>
      <c r="D689" s="102"/>
      <c r="E689" s="139" t="s">
        <v>234</v>
      </c>
      <c r="F689" s="155">
        <v>10</v>
      </c>
      <c r="G689" s="91">
        <f t="shared" si="821"/>
        <v>192197.94600000003</v>
      </c>
      <c r="H689" s="74">
        <v>1921979.46</v>
      </c>
      <c r="I689" s="74">
        <v>815530</v>
      </c>
      <c r="J689" s="74">
        <f t="shared" si="822"/>
        <v>914251.51399999997</v>
      </c>
      <c r="K689" s="13"/>
      <c r="L689" s="32"/>
      <c r="M689" s="74">
        <f t="shared" si="823"/>
        <v>111494.08707317074</v>
      </c>
      <c r="N689" s="68">
        <f t="shared" si="824"/>
        <v>5.8010030488656078E-2</v>
      </c>
      <c r="O689" s="32">
        <v>8.1999999999999993</v>
      </c>
      <c r="P689" s="13">
        <v>111789</v>
      </c>
      <c r="Q689" s="119">
        <f t="shared" si="825"/>
        <v>-294.91292682925996</v>
      </c>
      <c r="S689" s="13">
        <v>80819</v>
      </c>
      <c r="T689" s="13">
        <f t="shared" si="826"/>
        <v>30675.08707317074</v>
      </c>
      <c r="V689" s="123">
        <v>4.07E-2</v>
      </c>
      <c r="W689" s="124">
        <v>0.4200275</v>
      </c>
      <c r="Y689" s="79">
        <f t="shared" si="827"/>
        <v>1906.0047141857372</v>
      </c>
      <c r="Z689" s="79">
        <f t="shared" si="828"/>
        <v>46954.454197500003</v>
      </c>
      <c r="AA689" s="79">
        <f t="shared" si="829"/>
        <v>-5.0415716525127232</v>
      </c>
      <c r="AB689" s="79">
        <f t="shared" si="830"/>
        <v>1381.6104426657498</v>
      </c>
      <c r="AC689" s="79">
        <f t="shared" si="831"/>
        <v>524.39427151998723</v>
      </c>
      <c r="AE689" s="123">
        <v>4.07E-2</v>
      </c>
      <c r="AI689" s="124">
        <v>0.4200275</v>
      </c>
      <c r="AN689" s="137">
        <f t="shared" si="832"/>
        <v>32856.468064750603</v>
      </c>
    </row>
    <row r="690" spans="1:40">
      <c r="A690" s="14">
        <v>396.07</v>
      </c>
      <c r="B690" s="15" t="s">
        <v>120</v>
      </c>
      <c r="C690" s="138" t="s">
        <v>175</v>
      </c>
      <c r="D690" s="102"/>
      <c r="E690" s="139" t="s">
        <v>235</v>
      </c>
      <c r="F690" s="155">
        <v>15</v>
      </c>
      <c r="G690" s="91">
        <f t="shared" si="821"/>
        <v>1005177.4079999999</v>
      </c>
      <c r="H690" s="74">
        <v>6701182.7199999997</v>
      </c>
      <c r="I690" s="74">
        <v>2315048</v>
      </c>
      <c r="J690" s="74">
        <f t="shared" si="822"/>
        <v>3380957.3119999999</v>
      </c>
      <c r="K690" s="13"/>
      <c r="L690" s="32"/>
      <c r="M690" s="74">
        <f t="shared" si="823"/>
        <v>384199.69454545452</v>
      </c>
      <c r="N690" s="68">
        <f t="shared" si="824"/>
        <v>5.73331172419448E-2</v>
      </c>
      <c r="O690" s="32">
        <v>8.8000000000000007</v>
      </c>
      <c r="P690" s="13">
        <v>383133</v>
      </c>
      <c r="Q690" s="119">
        <f t="shared" si="825"/>
        <v>1066.6945454545203</v>
      </c>
      <c r="S690" s="13">
        <v>364836</v>
      </c>
      <c r="T690" s="13">
        <f t="shared" si="826"/>
        <v>19363.69454545452</v>
      </c>
      <c r="V690" s="123">
        <v>6.8699999999999997E-2</v>
      </c>
      <c r="W690" s="124">
        <v>0.4200275</v>
      </c>
      <c r="Y690" s="79">
        <f t="shared" si="827"/>
        <v>11086.423835687463</v>
      </c>
      <c r="Z690" s="79">
        <f t="shared" si="828"/>
        <v>160926.39615749998</v>
      </c>
      <c r="AA690" s="79">
        <f t="shared" si="829"/>
        <v>30.780419667214726</v>
      </c>
      <c r="AB690" s="79">
        <f t="shared" si="830"/>
        <v>10527.667210412999</v>
      </c>
      <c r="AC690" s="79">
        <f t="shared" si="831"/>
        <v>558.7566252744648</v>
      </c>
      <c r="AE690" s="123">
        <v>6.8699999999999997E-2</v>
      </c>
      <c r="AI690" s="124">
        <v>0.4200275</v>
      </c>
      <c r="AN690" s="137">
        <f t="shared" si="832"/>
        <v>193368.58641233374</v>
      </c>
    </row>
    <row r="691" spans="1:40">
      <c r="A691" s="6"/>
      <c r="B691" s="48" t="s">
        <v>125</v>
      </c>
      <c r="C691" s="23"/>
      <c r="D691" s="102"/>
      <c r="F691" s="154"/>
      <c r="G691" s="72"/>
      <c r="H691" s="83">
        <f>+SUBTOTAL(9,H685:H690)</f>
        <v>27282076.609999999</v>
      </c>
      <c r="I691" s="83">
        <f>+SUBTOTAL(9,I685:I690)</f>
        <v>10727133</v>
      </c>
      <c r="J691" s="83">
        <f>+SUBTOTAL(9,J685:J690)</f>
        <v>15669915.684999999</v>
      </c>
      <c r="K691" s="51"/>
      <c r="L691" s="31"/>
      <c r="M691" s="83">
        <f>+SUBTOTAL(9,M685:M690)</f>
        <v>1149871.5051104289</v>
      </c>
      <c r="N691" s="52">
        <f>+ROUND(M691/H691*100,2)</f>
        <v>4.21</v>
      </c>
      <c r="O691" s="31"/>
      <c r="P691" s="106">
        <f>+SUBTOTAL(9,P685:P690)</f>
        <v>1148837</v>
      </c>
      <c r="Q691" s="109">
        <f>+SUBTOTAL(9,Q685:Q690)</f>
        <v>1034.505110428905</v>
      </c>
      <c r="S691" s="106">
        <f>+SUBTOTAL(9,S685:S690)</f>
        <v>1080814</v>
      </c>
      <c r="T691" s="106">
        <f>+SUBTOTAL(9,T685:T690)</f>
        <v>69057.505110428901</v>
      </c>
      <c r="Y691" s="83">
        <f t="shared" ref="Y691:AC691" si="833">+SUBTOTAL(9,Y685:Y690)</f>
        <v>64388.24512241692</v>
      </c>
      <c r="Z691" s="83">
        <f t="shared" si="833"/>
        <v>482543.13301749999</v>
      </c>
      <c r="AA691" s="83">
        <f t="shared" si="833"/>
        <v>96.434843210428127</v>
      </c>
      <c r="AB691" s="83">
        <f t="shared" si="833"/>
        <v>60642.527101689993</v>
      </c>
      <c r="AC691" s="83">
        <f t="shared" si="833"/>
        <v>3745.7180207269284</v>
      </c>
      <c r="AE691" s="123"/>
      <c r="AI691" s="124"/>
    </row>
    <row r="692" spans="1:40">
      <c r="A692" s="14"/>
      <c r="B692" s="17"/>
      <c r="C692" s="23"/>
      <c r="D692" s="102"/>
      <c r="F692" s="154"/>
      <c r="G692" s="72"/>
      <c r="H692" s="74"/>
      <c r="I692" s="74"/>
      <c r="J692" s="74"/>
      <c r="K692" s="13"/>
      <c r="L692" s="31"/>
      <c r="M692" s="74"/>
      <c r="N692" s="27"/>
      <c r="O692" s="31"/>
      <c r="P692" s="13"/>
      <c r="Q692" s="122"/>
      <c r="S692" s="51"/>
      <c r="T692" s="51"/>
      <c r="AE692" s="123"/>
      <c r="AI692" s="124"/>
    </row>
    <row r="693" spans="1:40">
      <c r="A693" s="6"/>
      <c r="B693" s="61" t="s">
        <v>128</v>
      </c>
      <c r="C693" s="23"/>
      <c r="D693" s="102"/>
      <c r="F693" s="154"/>
      <c r="G693" s="72"/>
      <c r="H693" s="74"/>
      <c r="I693" s="74"/>
      <c r="J693" s="74"/>
      <c r="K693" s="13"/>
      <c r="L693" s="31"/>
      <c r="M693" s="74"/>
      <c r="N693" s="27"/>
      <c r="O693" s="31"/>
      <c r="P693" s="13"/>
      <c r="Q693" s="122"/>
      <c r="S693" s="13"/>
      <c r="T693" s="13"/>
      <c r="AE693" s="123"/>
      <c r="AI693" s="124"/>
    </row>
    <row r="694" spans="1:40">
      <c r="A694" s="14">
        <v>389.2</v>
      </c>
      <c r="B694" s="15" t="s">
        <v>10</v>
      </c>
      <c r="C694" s="138" t="s">
        <v>175</v>
      </c>
      <c r="D694" s="102"/>
      <c r="E694" s="139" t="s">
        <v>239</v>
      </c>
      <c r="F694" s="155">
        <v>0</v>
      </c>
      <c r="G694" s="91">
        <f t="shared" ref="G694:G700" si="834">H694*F694/100</f>
        <v>0</v>
      </c>
      <c r="H694" s="74">
        <v>74341.83</v>
      </c>
      <c r="I694" s="74">
        <v>7286</v>
      </c>
      <c r="J694" s="74">
        <f t="shared" ref="J694:J700" si="835">H694-G694-I694</f>
        <v>67055.83</v>
      </c>
      <c r="K694" s="13"/>
      <c r="L694" s="32"/>
      <c r="M694" s="74">
        <f t="shared" ref="M694:M700" si="836">J694/O694</f>
        <v>1493.4483296213809</v>
      </c>
      <c r="N694" s="68">
        <f t="shared" ref="N694:N700" si="837">M694/H694</f>
        <v>2.0088936869342346E-2</v>
      </c>
      <c r="O694" s="32">
        <v>44.9</v>
      </c>
      <c r="P694" s="13">
        <v>1495</v>
      </c>
      <c r="Q694" s="119">
        <f t="shared" ref="Q694:Q700" si="838">M694-P694</f>
        <v>-1.5516703786190646</v>
      </c>
      <c r="S694" s="13">
        <v>1493</v>
      </c>
      <c r="T694" s="13">
        <f t="shared" ref="T694:T700" si="839">M694-S694</f>
        <v>0.44832962138093535</v>
      </c>
      <c r="V694" s="123">
        <v>0</v>
      </c>
      <c r="W694" s="124">
        <v>0</v>
      </c>
      <c r="Y694" s="79">
        <f t="shared" ref="Y694:Y700" si="840">(M694*AE694*AI694)+(M694*AF694*AJ694)</f>
        <v>0</v>
      </c>
      <c r="AA694" s="79">
        <f t="shared" ref="AA694:AA700" si="841">(Q694*AE694*AI694)+(Q694*AF694*AJ694)</f>
        <v>0</v>
      </c>
      <c r="AB694" s="79">
        <f t="shared" ref="AB694:AB700" si="842">(S694*AE694*AI694)+(S694*AF694*AJ694)</f>
        <v>0</v>
      </c>
      <c r="AC694" s="79">
        <f t="shared" ref="AC694:AC700" si="843">(T694*AE694*AI694)+(T694*AF694*AJ694)</f>
        <v>0</v>
      </c>
      <c r="AE694" s="123">
        <v>0</v>
      </c>
      <c r="AI694" s="124">
        <v>0</v>
      </c>
      <c r="AN694" s="137">
        <f t="shared" ref="AN694:AN700" si="844">(H694*AE694*AI694)+(H694*AF694*AJ694)+(H694*AG694*AK694)+(H694*AH694*AL694)</f>
        <v>0</v>
      </c>
    </row>
    <row r="695" spans="1:40">
      <c r="A695" s="14">
        <v>390</v>
      </c>
      <c r="B695" s="15" t="s">
        <v>162</v>
      </c>
      <c r="C695" s="138" t="s">
        <v>175</v>
      </c>
      <c r="D695" s="102"/>
      <c r="E695" s="139" t="s">
        <v>326</v>
      </c>
      <c r="F695" s="155">
        <v>-15</v>
      </c>
      <c r="G695" s="91">
        <f t="shared" si="834"/>
        <v>-1328875.608</v>
      </c>
      <c r="H695" s="74">
        <v>8859170.7200000007</v>
      </c>
      <c r="I695" s="74">
        <v>2566729</v>
      </c>
      <c r="J695" s="74">
        <f t="shared" si="835"/>
        <v>7621317.3280000016</v>
      </c>
      <c r="K695" s="13"/>
      <c r="L695" s="32"/>
      <c r="M695" s="74">
        <f t="shared" si="836"/>
        <v>230251.27879154083</v>
      </c>
      <c r="N695" s="68">
        <f t="shared" si="837"/>
        <v>2.5990161615436259E-2</v>
      </c>
      <c r="O695" s="32">
        <v>33.1</v>
      </c>
      <c r="P695" s="13">
        <v>230423</v>
      </c>
      <c r="Q695" s="119">
        <f t="shared" si="838"/>
        <v>-171.72120845917379</v>
      </c>
      <c r="S695" s="13">
        <v>367464</v>
      </c>
      <c r="T695" s="13">
        <f t="shared" si="839"/>
        <v>-137212.72120845917</v>
      </c>
      <c r="V695" s="123">
        <v>6.4899999999999999E-2</v>
      </c>
      <c r="W695" s="124">
        <v>0.4200275</v>
      </c>
      <c r="Y695" s="79">
        <f t="shared" si="840"/>
        <v>6276.6002982696427</v>
      </c>
      <c r="Z695" s="79">
        <f t="shared" ref="Z695:Z700" si="845">P695*W695</f>
        <v>96783.996632499999</v>
      </c>
      <c r="AA695" s="79">
        <f t="shared" si="841"/>
        <v>-4.681083179606957</v>
      </c>
      <c r="AB695" s="79">
        <f t="shared" si="842"/>
        <v>10016.989543374</v>
      </c>
      <c r="AC695" s="79">
        <f t="shared" si="843"/>
        <v>-3740.3892451043571</v>
      </c>
      <c r="AE695" s="123">
        <v>6.4899999999999999E-2</v>
      </c>
      <c r="AI695" s="124">
        <v>0.4200275</v>
      </c>
      <c r="AN695" s="137">
        <f t="shared" si="844"/>
        <v>241499.08689070254</v>
      </c>
    </row>
    <row r="696" spans="1:40">
      <c r="A696" s="14">
        <v>392.01</v>
      </c>
      <c r="B696" s="15" t="s">
        <v>375</v>
      </c>
      <c r="C696" s="138" t="s">
        <v>175</v>
      </c>
      <c r="D696" s="102"/>
      <c r="E696" s="139" t="s">
        <v>240</v>
      </c>
      <c r="F696" s="155">
        <v>10</v>
      </c>
      <c r="G696" s="91">
        <f t="shared" si="834"/>
        <v>506170.93400000001</v>
      </c>
      <c r="H696" s="74">
        <v>5061709.34</v>
      </c>
      <c r="I696" s="74">
        <v>2219885</v>
      </c>
      <c r="J696" s="74">
        <f t="shared" si="835"/>
        <v>2335653.4059999995</v>
      </c>
      <c r="K696" s="13"/>
      <c r="L696" s="32"/>
      <c r="M696" s="74">
        <f t="shared" si="836"/>
        <v>370738.6358730158</v>
      </c>
      <c r="N696" s="68">
        <f t="shared" si="837"/>
        <v>7.3243762328126058E-2</v>
      </c>
      <c r="O696" s="32">
        <v>6.3</v>
      </c>
      <c r="P696" s="13">
        <v>369467</v>
      </c>
      <c r="Q696" s="119">
        <f t="shared" si="838"/>
        <v>1271.6358730157954</v>
      </c>
      <c r="S696" s="13">
        <v>328478</v>
      </c>
      <c r="T696" s="13">
        <f t="shared" si="839"/>
        <v>42260.635873015795</v>
      </c>
      <c r="V696" s="123">
        <v>0.39550000000000002</v>
      </c>
      <c r="W696" s="124">
        <v>0.4200275</v>
      </c>
      <c r="Y696" s="79">
        <f t="shared" si="840"/>
        <v>61587.42705095507</v>
      </c>
      <c r="Z696" s="79">
        <f t="shared" si="845"/>
        <v>155186.30034250001</v>
      </c>
      <c r="AA696" s="79">
        <f t="shared" si="841"/>
        <v>211.24526549631767</v>
      </c>
      <c r="AB696" s="79">
        <f t="shared" si="842"/>
        <v>54567.053188847502</v>
      </c>
      <c r="AC696" s="79">
        <f t="shared" si="843"/>
        <v>7020.3738621075681</v>
      </c>
      <c r="AE696" s="123">
        <v>0.39550000000000002</v>
      </c>
      <c r="AI696" s="124">
        <v>0.4200275</v>
      </c>
      <c r="AN696" s="137">
        <f t="shared" si="844"/>
        <v>840855.59088360914</v>
      </c>
    </row>
    <row r="697" spans="1:40">
      <c r="A697" s="14">
        <v>392.05</v>
      </c>
      <c r="B697" s="15" t="s">
        <v>376</v>
      </c>
      <c r="C697" s="138" t="s">
        <v>175</v>
      </c>
      <c r="D697" s="102"/>
      <c r="E697" s="139" t="s">
        <v>327</v>
      </c>
      <c r="F697" s="155">
        <v>10</v>
      </c>
      <c r="G697" s="91">
        <f t="shared" si="834"/>
        <v>593935.54299999995</v>
      </c>
      <c r="H697" s="74">
        <v>5939355.4299999997</v>
      </c>
      <c r="I697" s="74">
        <v>1785930</v>
      </c>
      <c r="J697" s="74">
        <f t="shared" si="835"/>
        <v>3559489.8870000001</v>
      </c>
      <c r="K697" s="13"/>
      <c r="L697" s="32"/>
      <c r="M697" s="74">
        <f t="shared" si="836"/>
        <v>363213.25377551018</v>
      </c>
      <c r="N697" s="68">
        <f t="shared" si="837"/>
        <v>6.1153648414590707E-2</v>
      </c>
      <c r="O697" s="32">
        <v>9.8000000000000007</v>
      </c>
      <c r="P697" s="13">
        <v>365056</v>
      </c>
      <c r="Q697" s="119">
        <f t="shared" si="838"/>
        <v>-1842.7462244898197</v>
      </c>
      <c r="S697" s="13">
        <v>394403</v>
      </c>
      <c r="T697" s="13">
        <f t="shared" si="839"/>
        <v>-31189.74622448982</v>
      </c>
      <c r="V697" s="123">
        <v>0.30320000000000003</v>
      </c>
      <c r="W697" s="124">
        <v>0.4200275</v>
      </c>
      <c r="Y697" s="79">
        <f t="shared" si="840"/>
        <v>46256.057060898551</v>
      </c>
      <c r="Z697" s="79">
        <f t="shared" si="845"/>
        <v>153333.55903999999</v>
      </c>
      <c r="AA697" s="79">
        <f t="shared" si="841"/>
        <v>-234.67804002945144</v>
      </c>
      <c r="AB697" s="79">
        <f t="shared" si="842"/>
        <v>50228.144164214005</v>
      </c>
      <c r="AC697" s="79">
        <f t="shared" si="843"/>
        <v>-3972.0871033154517</v>
      </c>
      <c r="AE697" s="123">
        <v>0.30320000000000003</v>
      </c>
      <c r="AI697" s="124">
        <v>0.4200275</v>
      </c>
      <c r="AN697" s="137">
        <f t="shared" si="844"/>
        <v>756390.80022349535</v>
      </c>
    </row>
    <row r="698" spans="1:40">
      <c r="A698" s="14">
        <v>392.09</v>
      </c>
      <c r="B698" s="15" t="s">
        <v>377</v>
      </c>
      <c r="C698" s="138" t="s">
        <v>175</v>
      </c>
      <c r="D698" s="102"/>
      <c r="E698" s="139" t="s">
        <v>328</v>
      </c>
      <c r="F698" s="155">
        <v>5</v>
      </c>
      <c r="G698" s="91">
        <f t="shared" si="834"/>
        <v>149765.69750000001</v>
      </c>
      <c r="H698" s="74">
        <v>2995313.95</v>
      </c>
      <c r="I698" s="74">
        <v>987298</v>
      </c>
      <c r="J698" s="74">
        <f t="shared" si="835"/>
        <v>1858250.2525000004</v>
      </c>
      <c r="K698" s="13"/>
      <c r="L698" s="32"/>
      <c r="M698" s="74">
        <f t="shared" si="836"/>
        <v>98320.119179894202</v>
      </c>
      <c r="N698" s="68">
        <f t="shared" si="837"/>
        <v>3.2824645703631229E-2</v>
      </c>
      <c r="O698" s="32">
        <v>18.899999999999999</v>
      </c>
      <c r="P698" s="13">
        <v>98249</v>
      </c>
      <c r="Q698" s="119">
        <f t="shared" si="838"/>
        <v>71.119179894201807</v>
      </c>
      <c r="S698" s="13">
        <v>97681</v>
      </c>
      <c r="T698" s="13">
        <f t="shared" si="839"/>
        <v>639.11917989420181</v>
      </c>
      <c r="V698" s="123">
        <v>0.19819999999999999</v>
      </c>
      <c r="W698" s="124">
        <v>0.4200275</v>
      </c>
      <c r="Y698" s="79">
        <f t="shared" si="840"/>
        <v>8185.0958948207026</v>
      </c>
      <c r="Z698" s="79">
        <f t="shared" si="845"/>
        <v>41267.281847500002</v>
      </c>
      <c r="AA698" s="79">
        <f t="shared" si="841"/>
        <v>5.9206326462029484</v>
      </c>
      <c r="AB698" s="79">
        <f t="shared" si="842"/>
        <v>8131.8895742904997</v>
      </c>
      <c r="AC698" s="79">
        <f t="shared" si="843"/>
        <v>53.206320530202944</v>
      </c>
      <c r="AE698" s="123">
        <v>0.19819999999999999</v>
      </c>
      <c r="AI698" s="124">
        <v>0.4200275</v>
      </c>
      <c r="AN698" s="137">
        <f t="shared" si="844"/>
        <v>249358.24041248445</v>
      </c>
    </row>
    <row r="699" spans="1:40">
      <c r="A699" s="14">
        <v>396.03</v>
      </c>
      <c r="B699" s="15" t="s">
        <v>119</v>
      </c>
      <c r="C699" s="138" t="s">
        <v>175</v>
      </c>
      <c r="D699" s="102"/>
      <c r="E699" s="139" t="s">
        <v>230</v>
      </c>
      <c r="F699" s="155">
        <v>15</v>
      </c>
      <c r="G699" s="91">
        <f t="shared" si="834"/>
        <v>535159.72050000005</v>
      </c>
      <c r="H699" s="74">
        <v>3567731.47</v>
      </c>
      <c r="I699" s="74">
        <v>1231569</v>
      </c>
      <c r="J699" s="74">
        <f t="shared" si="835"/>
        <v>1801002.7494999999</v>
      </c>
      <c r="K699" s="13"/>
      <c r="L699" s="32"/>
      <c r="M699" s="74">
        <f t="shared" si="836"/>
        <v>346346.68259615381</v>
      </c>
      <c r="N699" s="68">
        <f t="shared" si="837"/>
        <v>9.7077564695796398E-2</v>
      </c>
      <c r="O699" s="32">
        <v>5.2</v>
      </c>
      <c r="P699" s="13">
        <v>347067</v>
      </c>
      <c r="Q699" s="119">
        <f t="shared" si="838"/>
        <v>-720.31740384618752</v>
      </c>
      <c r="S699" s="13">
        <v>253624</v>
      </c>
      <c r="T699" s="13">
        <f t="shared" si="839"/>
        <v>92722.682596153812</v>
      </c>
      <c r="V699" s="123">
        <v>2.35E-2</v>
      </c>
      <c r="W699" s="124">
        <v>0.4200275</v>
      </c>
      <c r="Y699" s="79">
        <f t="shared" si="840"/>
        <v>3418.6655837676658</v>
      </c>
      <c r="Z699" s="79">
        <f t="shared" si="845"/>
        <v>145777.6843425</v>
      </c>
      <c r="AA699" s="79">
        <f t="shared" si="841"/>
        <v>-7.1099982810841063</v>
      </c>
      <c r="AB699" s="79">
        <f t="shared" si="842"/>
        <v>2503.4327845099997</v>
      </c>
      <c r="AC699" s="79">
        <f t="shared" si="843"/>
        <v>915.23279925766587</v>
      </c>
      <c r="AE699" s="123">
        <v>2.35E-2</v>
      </c>
      <c r="AI699" s="124">
        <v>0.4200275</v>
      </c>
      <c r="AN699" s="137">
        <f t="shared" si="844"/>
        <v>35215.81525536249</v>
      </c>
    </row>
    <row r="700" spans="1:40">
      <c r="A700" s="14">
        <v>396.07</v>
      </c>
      <c r="B700" s="15" t="s">
        <v>120</v>
      </c>
      <c r="C700" s="138" t="s">
        <v>175</v>
      </c>
      <c r="D700" s="102"/>
      <c r="E700" s="139" t="s">
        <v>329</v>
      </c>
      <c r="F700" s="155">
        <v>25</v>
      </c>
      <c r="G700" s="91">
        <f t="shared" si="834"/>
        <v>7474747.8925000001</v>
      </c>
      <c r="H700" s="74">
        <v>29898991.57</v>
      </c>
      <c r="I700" s="74">
        <v>5071582</v>
      </c>
      <c r="J700" s="74">
        <f t="shared" si="835"/>
        <v>17352661.677500002</v>
      </c>
      <c r="K700" s="13"/>
      <c r="L700" s="32"/>
      <c r="M700" s="74">
        <f t="shared" si="836"/>
        <v>1522163.3050438599</v>
      </c>
      <c r="N700" s="68">
        <f t="shared" si="837"/>
        <v>5.0910188776104592E-2</v>
      </c>
      <c r="O700" s="32">
        <v>11.4</v>
      </c>
      <c r="P700" s="13">
        <v>1516237</v>
      </c>
      <c r="Q700" s="119">
        <f t="shared" si="838"/>
        <v>5926.305043859873</v>
      </c>
      <c r="S700" s="13">
        <v>1613335</v>
      </c>
      <c r="T700" s="13">
        <f t="shared" si="839"/>
        <v>-91171.694956140127</v>
      </c>
      <c r="V700" s="123">
        <v>0.61280000000000001</v>
      </c>
      <c r="W700" s="124">
        <v>0.4200275</v>
      </c>
      <c r="Y700" s="79">
        <f t="shared" si="840"/>
        <v>391793.9542949851</v>
      </c>
      <c r="Z700" s="79">
        <f t="shared" si="845"/>
        <v>636861.23651750002</v>
      </c>
      <c r="AA700" s="79">
        <f t="shared" si="841"/>
        <v>1525.3885570610778</v>
      </c>
      <c r="AB700" s="79">
        <f t="shared" si="842"/>
        <v>415260.89688141999</v>
      </c>
      <c r="AC700" s="79">
        <f t="shared" si="843"/>
        <v>-23466.942586434921</v>
      </c>
      <c r="AE700" s="123">
        <v>0.61280000000000001</v>
      </c>
      <c r="AI700" s="124">
        <v>0.4200275</v>
      </c>
      <c r="AN700" s="137">
        <f t="shared" si="844"/>
        <v>7695786.7121262569</v>
      </c>
    </row>
    <row r="701" spans="1:40">
      <c r="A701" s="6"/>
      <c r="B701" s="48" t="s">
        <v>129</v>
      </c>
      <c r="C701" s="23"/>
      <c r="D701" s="102"/>
      <c r="F701" s="154"/>
      <c r="G701" s="72"/>
      <c r="H701" s="83">
        <f>+SUBTOTAL(9,H694:H700)</f>
        <v>56396614.310000002</v>
      </c>
      <c r="I701" s="83">
        <f>+SUBTOTAL(9,I694:I700)</f>
        <v>13870279</v>
      </c>
      <c r="J701" s="83">
        <f>+SUBTOTAL(9,J694:J700)</f>
        <v>34595431.130500004</v>
      </c>
      <c r="K701" s="51"/>
      <c r="L701" s="31"/>
      <c r="M701" s="83">
        <f>+SUBTOTAL(9,M694:M700)</f>
        <v>2932526.7235895963</v>
      </c>
      <c r="N701" s="52">
        <f>+ROUND(M701/H701*100,2)</f>
        <v>5.2</v>
      </c>
      <c r="O701" s="31"/>
      <c r="P701" s="106">
        <f>+SUBTOTAL(9,P694:P700)</f>
        <v>2927994</v>
      </c>
      <c r="Q701" s="109">
        <f>+SUBTOTAL(9,Q694:Q700)</f>
        <v>4532.7235895960703</v>
      </c>
      <c r="S701" s="106">
        <f>+SUBTOTAL(9,S694:S700)</f>
        <v>3056478</v>
      </c>
      <c r="T701" s="106">
        <f>+SUBTOTAL(9,T694:T700)</f>
        <v>-123951.27641040394</v>
      </c>
      <c r="Y701" s="83">
        <f t="shared" ref="Y701:AC701" si="846">+SUBTOTAL(9,Y694:Y700)</f>
        <v>517517.80018369673</v>
      </c>
      <c r="Z701" s="83">
        <f t="shared" si="846"/>
        <v>1229210.0587225002</v>
      </c>
      <c r="AA701" s="83">
        <f t="shared" si="846"/>
        <v>1496.0853337134558</v>
      </c>
      <c r="AB701" s="83">
        <f t="shared" si="846"/>
        <v>540708.40613665595</v>
      </c>
      <c r="AC701" s="83">
        <f t="shared" si="846"/>
        <v>-23190.605952959293</v>
      </c>
      <c r="AE701" s="123"/>
      <c r="AI701" s="124"/>
    </row>
    <row r="702" spans="1:40">
      <c r="A702" s="14"/>
      <c r="B702" s="17"/>
      <c r="C702" s="23"/>
      <c r="D702" s="102"/>
      <c r="F702" s="154"/>
      <c r="G702" s="72"/>
      <c r="H702" s="74"/>
      <c r="I702" s="74"/>
      <c r="J702" s="74"/>
      <c r="K702" s="13"/>
      <c r="L702" s="31"/>
      <c r="M702" s="74"/>
      <c r="N702" s="27"/>
      <c r="O702" s="31"/>
      <c r="P702" s="13"/>
      <c r="Q702" s="122"/>
      <c r="S702" s="51"/>
      <c r="T702" s="51"/>
      <c r="AE702" s="123"/>
      <c r="AI702" s="124"/>
    </row>
    <row r="703" spans="1:40">
      <c r="A703" s="14"/>
      <c r="B703" s="61" t="s">
        <v>130</v>
      </c>
      <c r="C703" s="23"/>
      <c r="D703" s="102"/>
      <c r="F703" s="154"/>
      <c r="G703" s="72"/>
      <c r="H703" s="74"/>
      <c r="I703" s="74"/>
      <c r="J703" s="74"/>
      <c r="K703" s="13"/>
      <c r="L703" s="31"/>
      <c r="M703" s="74"/>
      <c r="N703" s="27"/>
      <c r="O703" s="31"/>
      <c r="P703" s="13"/>
      <c r="Q703" s="122"/>
      <c r="S703" s="13"/>
      <c r="T703" s="13"/>
      <c r="AE703" s="123"/>
      <c r="AI703" s="124"/>
    </row>
    <row r="704" spans="1:40">
      <c r="A704" s="14">
        <v>390</v>
      </c>
      <c r="B704" s="15" t="s">
        <v>162</v>
      </c>
      <c r="C704" s="138" t="s">
        <v>175</v>
      </c>
      <c r="D704" s="102"/>
      <c r="E704" s="139" t="s">
        <v>293</v>
      </c>
      <c r="F704" s="155">
        <v>-20</v>
      </c>
      <c r="G704" s="91">
        <f t="shared" ref="G704:G709" si="847">H704*F704/100</f>
        <v>-590814.64800000004</v>
      </c>
      <c r="H704" s="74">
        <v>2954073.24</v>
      </c>
      <c r="I704" s="74">
        <v>1093880</v>
      </c>
      <c r="J704" s="74">
        <f t="shared" ref="J704:J709" si="848">H704-G704-I704</f>
        <v>2451007.8880000003</v>
      </c>
      <c r="K704" s="13"/>
      <c r="L704" s="32"/>
      <c r="M704" s="74">
        <f t="shared" ref="M704:M709" si="849">J704/O704</f>
        <v>50956.504948024951</v>
      </c>
      <c r="N704" s="68">
        <f t="shared" ref="N704:N709" si="850">M704/H704</f>
        <v>1.7249573997706619E-2</v>
      </c>
      <c r="O704" s="32">
        <v>48.1</v>
      </c>
      <c r="P704" s="13">
        <v>50964</v>
      </c>
      <c r="Q704" s="119">
        <f t="shared" ref="Q704:Q709" si="851">M704-P704</f>
        <v>-7.4950519750491367</v>
      </c>
      <c r="S704" s="13">
        <v>50126</v>
      </c>
      <c r="T704" s="13">
        <f t="shared" ref="T704:T709" si="852">M704-S704</f>
        <v>830.50494802495086</v>
      </c>
      <c r="V704" s="123">
        <v>0</v>
      </c>
      <c r="W704" s="124">
        <v>0</v>
      </c>
      <c r="Y704" s="79">
        <f t="shared" ref="Y704:Y709" si="853">(M704*AE704*AI704)+(M704*AF704*AJ704)</f>
        <v>0</v>
      </c>
      <c r="Z704" s="79">
        <f t="shared" ref="Z704:Z709" si="854">P704*W704</f>
        <v>0</v>
      </c>
      <c r="AA704" s="79">
        <f t="shared" ref="AA704:AA709" si="855">(Q704*AE704*AI704)+(Q704*AF704*AJ704)</f>
        <v>0</v>
      </c>
      <c r="AB704" s="79">
        <f t="shared" ref="AB704:AB709" si="856">(S704*AE704*AI704)+(S704*AF704*AJ704)</f>
        <v>0</v>
      </c>
      <c r="AC704" s="79">
        <f t="shared" ref="AC704:AC709" si="857">(T704*AE704*AI704)+(T704*AF704*AJ704)</f>
        <v>0</v>
      </c>
      <c r="AE704" s="123">
        <v>0</v>
      </c>
      <c r="AI704" s="124">
        <v>0</v>
      </c>
      <c r="AN704" s="137">
        <f t="shared" ref="AN704:AN709" si="858">(H704*AE704*AI704)+(H704*AF704*AJ704)+(H704*AG704*AK704)+(H704*AH704*AL704)</f>
        <v>0</v>
      </c>
    </row>
    <row r="705" spans="1:40">
      <c r="A705" s="14">
        <v>392.01</v>
      </c>
      <c r="B705" s="15" t="s">
        <v>375</v>
      </c>
      <c r="C705" s="138" t="s">
        <v>175</v>
      </c>
      <c r="D705" s="102"/>
      <c r="E705" s="139" t="s">
        <v>242</v>
      </c>
      <c r="F705" s="155">
        <v>20</v>
      </c>
      <c r="G705" s="91">
        <f t="shared" si="847"/>
        <v>217312.766</v>
      </c>
      <c r="H705" s="74">
        <v>1086563.83</v>
      </c>
      <c r="I705" s="74">
        <v>533737</v>
      </c>
      <c r="J705" s="74">
        <f t="shared" si="848"/>
        <v>335514.06400000001</v>
      </c>
      <c r="K705" s="13"/>
      <c r="L705" s="32"/>
      <c r="M705" s="74">
        <f t="shared" si="849"/>
        <v>43014.623589743591</v>
      </c>
      <c r="N705" s="68">
        <f t="shared" si="850"/>
        <v>3.9587755824472444E-2</v>
      </c>
      <c r="O705" s="32">
        <v>7.8</v>
      </c>
      <c r="P705" s="13">
        <v>43057</v>
      </c>
      <c r="Q705" s="119">
        <f t="shared" si="851"/>
        <v>-42.376410256409144</v>
      </c>
      <c r="S705" s="13">
        <v>28820</v>
      </c>
      <c r="T705" s="13">
        <f t="shared" si="852"/>
        <v>14194.623589743591</v>
      </c>
      <c r="V705" s="123">
        <v>0.1925</v>
      </c>
      <c r="W705" s="124">
        <v>0.4200275</v>
      </c>
      <c r="Y705" s="79">
        <f t="shared" si="853"/>
        <v>3477.9600258943979</v>
      </c>
      <c r="Z705" s="79">
        <f t="shared" si="854"/>
        <v>18085.124067500001</v>
      </c>
      <c r="AA705" s="79">
        <f t="shared" si="855"/>
        <v>-3.4263570993524746</v>
      </c>
      <c r="AB705" s="79">
        <f t="shared" si="856"/>
        <v>2330.2495658749999</v>
      </c>
      <c r="AC705" s="79">
        <f t="shared" si="857"/>
        <v>1147.7104600193975</v>
      </c>
      <c r="AE705" s="123">
        <v>0.1925</v>
      </c>
      <c r="AI705" s="124">
        <v>0.4200275</v>
      </c>
      <c r="AN705" s="137">
        <f t="shared" si="858"/>
        <v>87854.437652775072</v>
      </c>
    </row>
    <row r="706" spans="1:40">
      <c r="A706" s="14">
        <v>392.05</v>
      </c>
      <c r="B706" s="15" t="s">
        <v>376</v>
      </c>
      <c r="C706" s="138" t="s">
        <v>175</v>
      </c>
      <c r="D706" s="102"/>
      <c r="E706" s="139" t="s">
        <v>236</v>
      </c>
      <c r="F706" s="155">
        <v>15</v>
      </c>
      <c r="G706" s="91">
        <f t="shared" si="847"/>
        <v>158332.242</v>
      </c>
      <c r="H706" s="74">
        <v>1055548.28</v>
      </c>
      <c r="I706" s="74">
        <v>402981</v>
      </c>
      <c r="J706" s="74">
        <f t="shared" si="848"/>
        <v>494235.03800000006</v>
      </c>
      <c r="K706" s="13"/>
      <c r="L706" s="32"/>
      <c r="M706" s="74">
        <f t="shared" si="849"/>
        <v>47983.98427184466</v>
      </c>
      <c r="N706" s="68">
        <f t="shared" si="850"/>
        <v>4.5458824746362772E-2</v>
      </c>
      <c r="O706" s="32">
        <v>10.3</v>
      </c>
      <c r="P706" s="13">
        <v>47773</v>
      </c>
      <c r="Q706" s="119">
        <f t="shared" si="851"/>
        <v>210.98427184465982</v>
      </c>
      <c r="S706" s="13">
        <v>43238</v>
      </c>
      <c r="T706" s="13">
        <f t="shared" si="852"/>
        <v>4745.9842718446598</v>
      </c>
      <c r="V706" s="123">
        <v>0.17080000000000001</v>
      </c>
      <c r="W706" s="124">
        <v>0.4200275</v>
      </c>
      <c r="Y706" s="79">
        <f t="shared" si="853"/>
        <v>3442.4044764991736</v>
      </c>
      <c r="Z706" s="79">
        <f t="shared" si="854"/>
        <v>20065.9737575</v>
      </c>
      <c r="AA706" s="79">
        <f t="shared" si="855"/>
        <v>15.136158718173371</v>
      </c>
      <c r="AB706" s="79">
        <f t="shared" si="856"/>
        <v>3101.924256886</v>
      </c>
      <c r="AC706" s="79">
        <f t="shared" si="857"/>
        <v>340.48021961317335</v>
      </c>
      <c r="AE706" s="123">
        <v>0.17080000000000001</v>
      </c>
      <c r="AI706" s="124">
        <v>0.4200275</v>
      </c>
      <c r="AN706" s="137">
        <f t="shared" si="858"/>
        <v>75725.769324351175</v>
      </c>
    </row>
    <row r="707" spans="1:40">
      <c r="A707" s="14">
        <v>392.09</v>
      </c>
      <c r="B707" s="15" t="s">
        <v>377</v>
      </c>
      <c r="C707" s="138" t="s">
        <v>175</v>
      </c>
      <c r="D707" s="102"/>
      <c r="E707" s="139" t="s">
        <v>330</v>
      </c>
      <c r="F707" s="155">
        <v>5</v>
      </c>
      <c r="G707" s="91">
        <f t="shared" si="847"/>
        <v>23097.567000000003</v>
      </c>
      <c r="H707" s="74">
        <v>461951.34</v>
      </c>
      <c r="I707" s="74">
        <v>142202</v>
      </c>
      <c r="J707" s="74">
        <f t="shared" si="848"/>
        <v>296651.77300000004</v>
      </c>
      <c r="K707" s="13"/>
      <c r="L707" s="32"/>
      <c r="M707" s="74">
        <f t="shared" si="849"/>
        <v>10670.927086330936</v>
      </c>
      <c r="N707" s="68">
        <f t="shared" si="850"/>
        <v>2.3099677741666332E-2</v>
      </c>
      <c r="O707" s="32">
        <v>27.8</v>
      </c>
      <c r="P707" s="13">
        <v>10660</v>
      </c>
      <c r="Q707" s="119">
        <f t="shared" si="851"/>
        <v>10.927086330935708</v>
      </c>
      <c r="S707" s="13">
        <v>10483</v>
      </c>
      <c r="T707" s="13">
        <f t="shared" si="852"/>
        <v>187.92708633093571</v>
      </c>
      <c r="V707" s="123">
        <v>3.0800000000000001E-2</v>
      </c>
      <c r="W707" s="124">
        <v>0.42027500000000001</v>
      </c>
      <c r="Y707" s="79">
        <f t="shared" si="853"/>
        <v>138.12949554119822</v>
      </c>
      <c r="Z707" s="79">
        <f t="shared" si="854"/>
        <v>4480.1315000000004</v>
      </c>
      <c r="AA707" s="79">
        <f t="shared" si="855"/>
        <v>0.14144534119820734</v>
      </c>
      <c r="AB707" s="79">
        <f t="shared" si="856"/>
        <v>135.69687901</v>
      </c>
      <c r="AC707" s="79">
        <f t="shared" si="857"/>
        <v>2.4326165311982075</v>
      </c>
      <c r="AE707" s="123">
        <v>3.0800000000000001E-2</v>
      </c>
      <c r="AI707" s="124">
        <v>0.42027500000000001</v>
      </c>
      <c r="AN707" s="137">
        <f t="shared" si="858"/>
        <v>5979.7152620898005</v>
      </c>
    </row>
    <row r="708" spans="1:40">
      <c r="A708" s="14">
        <v>396.03</v>
      </c>
      <c r="B708" s="15" t="s">
        <v>119</v>
      </c>
      <c r="C708" s="138" t="s">
        <v>175</v>
      </c>
      <c r="D708" s="102"/>
      <c r="E708" s="139" t="s">
        <v>243</v>
      </c>
      <c r="F708" s="155">
        <v>15</v>
      </c>
      <c r="G708" s="91">
        <f t="shared" si="847"/>
        <v>179623.701</v>
      </c>
      <c r="H708" s="74">
        <v>1197491.3400000001</v>
      </c>
      <c r="I708" s="74">
        <v>536606</v>
      </c>
      <c r="J708" s="74">
        <f t="shared" si="848"/>
        <v>481261.63900000008</v>
      </c>
      <c r="K708" s="13"/>
      <c r="L708" s="32"/>
      <c r="M708" s="74">
        <f t="shared" si="849"/>
        <v>78895.350655737726</v>
      </c>
      <c r="N708" s="68">
        <f t="shared" si="850"/>
        <v>6.5883859047980858E-2</v>
      </c>
      <c r="O708" s="32">
        <v>6.1</v>
      </c>
      <c r="P708" s="13">
        <v>78718</v>
      </c>
      <c r="Q708" s="119">
        <f t="shared" si="851"/>
        <v>177.3506557377259</v>
      </c>
      <c r="S708" s="13">
        <v>66132</v>
      </c>
      <c r="T708" s="13">
        <f t="shared" si="852"/>
        <v>12763.350655737726</v>
      </c>
      <c r="V708" s="123">
        <v>0</v>
      </c>
      <c r="W708" s="124">
        <v>0</v>
      </c>
      <c r="Y708" s="79">
        <f t="shared" si="853"/>
        <v>0</v>
      </c>
      <c r="Z708" s="79">
        <f t="shared" si="854"/>
        <v>0</v>
      </c>
      <c r="AA708" s="79">
        <f t="shared" si="855"/>
        <v>0</v>
      </c>
      <c r="AB708" s="79">
        <f t="shared" si="856"/>
        <v>0</v>
      </c>
      <c r="AC708" s="79">
        <f t="shared" si="857"/>
        <v>0</v>
      </c>
      <c r="AE708" s="123">
        <v>0</v>
      </c>
      <c r="AI708" s="124">
        <v>0</v>
      </c>
      <c r="AN708" s="137">
        <f t="shared" si="858"/>
        <v>0</v>
      </c>
    </row>
    <row r="709" spans="1:40">
      <c r="A709" s="14">
        <v>396.07</v>
      </c>
      <c r="B709" s="15" t="s">
        <v>120</v>
      </c>
      <c r="C709" s="138" t="s">
        <v>175</v>
      </c>
      <c r="D709" s="102"/>
      <c r="E709" s="139" t="s">
        <v>331</v>
      </c>
      <c r="F709" s="155">
        <v>15</v>
      </c>
      <c r="G709" s="91">
        <f t="shared" si="847"/>
        <v>510339.87299999996</v>
      </c>
      <c r="H709" s="74">
        <v>3402265.82</v>
      </c>
      <c r="I709" s="74">
        <v>1145360</v>
      </c>
      <c r="J709" s="74">
        <f t="shared" si="848"/>
        <v>1746565.9469999997</v>
      </c>
      <c r="K709" s="13"/>
      <c r="L709" s="32"/>
      <c r="M709" s="74">
        <f t="shared" si="849"/>
        <v>167939.03336538459</v>
      </c>
      <c r="N709" s="68">
        <f t="shared" si="850"/>
        <v>4.9360938342373435E-2</v>
      </c>
      <c r="O709" s="32">
        <v>10.4</v>
      </c>
      <c r="P709" s="13">
        <v>167404</v>
      </c>
      <c r="Q709" s="119">
        <f t="shared" si="851"/>
        <v>535.03336538458825</v>
      </c>
      <c r="S709" s="13">
        <v>151814</v>
      </c>
      <c r="T709" s="13">
        <f t="shared" si="852"/>
        <v>16125.033365384588</v>
      </c>
      <c r="V709" s="123">
        <v>0</v>
      </c>
      <c r="W709" s="124">
        <v>0</v>
      </c>
      <c r="Y709" s="79">
        <f t="shared" si="853"/>
        <v>0</v>
      </c>
      <c r="Z709" s="79">
        <f t="shared" si="854"/>
        <v>0</v>
      </c>
      <c r="AA709" s="79">
        <f t="shared" si="855"/>
        <v>0</v>
      </c>
      <c r="AB709" s="79">
        <f t="shared" si="856"/>
        <v>0</v>
      </c>
      <c r="AC709" s="79">
        <f t="shared" si="857"/>
        <v>0</v>
      </c>
      <c r="AE709" s="123">
        <v>0</v>
      </c>
      <c r="AI709" s="124">
        <v>0</v>
      </c>
      <c r="AN709" s="137">
        <f t="shared" si="858"/>
        <v>0</v>
      </c>
    </row>
    <row r="710" spans="1:40">
      <c r="A710" s="6"/>
      <c r="B710" s="48" t="s">
        <v>131</v>
      </c>
      <c r="C710" s="23"/>
      <c r="D710" s="102"/>
      <c r="F710" s="154"/>
      <c r="G710" s="72"/>
      <c r="H710" s="83">
        <f>+SUBTOTAL(9,H704:H709)</f>
        <v>10157893.85</v>
      </c>
      <c r="I710" s="83">
        <f>+SUBTOTAL(9,I704:I709)</f>
        <v>3854766</v>
      </c>
      <c r="J710" s="83">
        <f>+SUBTOTAL(9,J704:J709)</f>
        <v>5805236.3490000004</v>
      </c>
      <c r="K710" s="51"/>
      <c r="L710" s="31"/>
      <c r="M710" s="83">
        <f>+SUBTOTAL(9,M704:M709)</f>
        <v>399460.42391706642</v>
      </c>
      <c r="N710" s="52">
        <f>+ROUND(M710/H710*100,2)</f>
        <v>3.93</v>
      </c>
      <c r="O710" s="31"/>
      <c r="P710" s="106">
        <f>+SUBTOTAL(9,P704:P709)</f>
        <v>398576</v>
      </c>
      <c r="Q710" s="109">
        <f>+SUBTOTAL(9,Q704:Q709)</f>
        <v>884.42391706645139</v>
      </c>
      <c r="S710" s="106">
        <f>+SUBTOTAL(9,S704:S709)</f>
        <v>350613</v>
      </c>
      <c r="T710" s="106">
        <f>+SUBTOTAL(9,T704:T709)</f>
        <v>48847.423917066451</v>
      </c>
      <c r="Y710" s="83">
        <f t="shared" ref="Y710:AC710" si="859">+SUBTOTAL(9,Y704:Y709)</f>
        <v>7058.4939979347701</v>
      </c>
      <c r="Z710" s="83">
        <f t="shared" si="859"/>
        <v>42631.229325000008</v>
      </c>
      <c r="AA710" s="83">
        <f t="shared" si="859"/>
        <v>11.851246960019104</v>
      </c>
      <c r="AB710" s="83">
        <f t="shared" si="859"/>
        <v>5567.8707017710003</v>
      </c>
      <c r="AC710" s="83">
        <f t="shared" si="859"/>
        <v>1490.6232961637691</v>
      </c>
    </row>
    <row r="711" spans="1:40">
      <c r="A711" s="14"/>
      <c r="B711" s="17"/>
      <c r="C711" s="23"/>
      <c r="D711" s="102"/>
      <c r="F711" s="154"/>
      <c r="G711" s="72"/>
      <c r="H711" s="74"/>
      <c r="I711" s="74"/>
      <c r="J711" s="74"/>
      <c r="K711" s="13"/>
      <c r="L711" s="31"/>
      <c r="M711" s="74"/>
      <c r="N711" s="27"/>
      <c r="O711" s="31"/>
      <c r="P711" s="13"/>
      <c r="Q711" s="122"/>
      <c r="S711" s="13"/>
      <c r="T711" s="13"/>
    </row>
    <row r="712" spans="1:40">
      <c r="A712" s="6"/>
      <c r="B712" s="61" t="s">
        <v>132</v>
      </c>
      <c r="C712" s="23"/>
      <c r="D712" s="102"/>
      <c r="F712" s="154"/>
      <c r="G712" s="72"/>
      <c r="H712" s="74"/>
      <c r="I712" s="74"/>
      <c r="J712" s="74"/>
      <c r="K712" s="13"/>
      <c r="L712" s="31"/>
      <c r="M712" s="74"/>
      <c r="N712" s="27"/>
      <c r="O712" s="31"/>
      <c r="P712" s="13"/>
      <c r="Q712" s="122"/>
      <c r="S712" s="13"/>
      <c r="T712" s="13"/>
    </row>
    <row r="713" spans="1:40">
      <c r="A713" s="14">
        <v>389.2</v>
      </c>
      <c r="B713" s="15" t="s">
        <v>10</v>
      </c>
      <c r="C713" s="138" t="s">
        <v>175</v>
      </c>
      <c r="D713" s="102"/>
      <c r="E713" s="139" t="s">
        <v>332</v>
      </c>
      <c r="F713" s="155">
        <v>0</v>
      </c>
      <c r="G713" s="91">
        <f t="shared" ref="G713:G720" si="860">H713*F713/100</f>
        <v>0</v>
      </c>
      <c r="H713" s="74">
        <v>35298.050000000003</v>
      </c>
      <c r="I713" s="74">
        <v>18073</v>
      </c>
      <c r="J713" s="74">
        <f t="shared" ref="J713:J720" si="861">H713-G713-I713</f>
        <v>17225.050000000003</v>
      </c>
      <c r="K713" s="13"/>
      <c r="L713" s="32"/>
      <c r="M713" s="74">
        <f t="shared" ref="M713:M720" si="862">J713/O713</f>
        <v>755.48464912280713</v>
      </c>
      <c r="N713" s="68">
        <f t="shared" ref="N713:N720" si="863">M713/H713</f>
        <v>2.1403013739365404E-2</v>
      </c>
      <c r="O713" s="32">
        <v>22.8</v>
      </c>
      <c r="P713" s="13">
        <v>754</v>
      </c>
      <c r="Q713" s="119">
        <f t="shared" ref="Q713:Q720" si="864">M713-P713</f>
        <v>1.4846491228071272</v>
      </c>
      <c r="S713" s="13">
        <v>725</v>
      </c>
      <c r="T713" s="13">
        <f t="shared" ref="T713:T720" si="865">M713-S713</f>
        <v>30.484649122807127</v>
      </c>
      <c r="V713" s="128" t="s">
        <v>362</v>
      </c>
      <c r="W713" s="129" t="s">
        <v>361</v>
      </c>
      <c r="Y713" s="79">
        <f>(M713*AE713*AI713)+(M713*AF713*AJ713)</f>
        <v>740.23666996372151</v>
      </c>
      <c r="Z713" s="79">
        <f>(P713*AE713*AI713)+(P713*AF713*AJ713)+(P713*AG713*AK713)+(P713*AH713*AL713)</f>
        <v>738.78198557799988</v>
      </c>
      <c r="AA713" s="79">
        <f>(Q713*AE713*AI713)+(Q713*AF713*AJ713)</f>
        <v>1.4546843857215987</v>
      </c>
      <c r="AB713" s="79">
        <f>(S713*AE713*AI713)+(S713*AF713*AJ713)</f>
        <v>710.36729382499993</v>
      </c>
      <c r="AC713" s="79">
        <f>(T713*AE713*AI713)+(T713*AF713*AJ713)</f>
        <v>29.869376138721599</v>
      </c>
      <c r="AE713" s="132">
        <v>3.4799999999999998E-2</v>
      </c>
      <c r="AF713" s="132">
        <v>0.96519999999999995</v>
      </c>
      <c r="AI713" s="132">
        <v>0.4200275</v>
      </c>
      <c r="AJ713" s="132">
        <v>1</v>
      </c>
      <c r="AN713" s="137">
        <f t="shared" ref="AN713:AN720" si="866">(H713*AE713*AI713)+(H713*AF713*AJ713)+(H713*AG713*AK713)+(H713*AH713*AL713)</f>
        <v>34585.627939033853</v>
      </c>
    </row>
    <row r="714" spans="1:40">
      <c r="A714" s="14">
        <v>390</v>
      </c>
      <c r="B714" s="15" t="s">
        <v>162</v>
      </c>
      <c r="C714" s="138" t="s">
        <v>175</v>
      </c>
      <c r="D714" s="102"/>
      <c r="E714" s="139" t="s">
        <v>332</v>
      </c>
      <c r="F714" s="155">
        <v>5</v>
      </c>
      <c r="G714" s="91">
        <f t="shared" si="860"/>
        <v>4517556.1359999999</v>
      </c>
      <c r="H714" s="74">
        <v>90351122.719999999</v>
      </c>
      <c r="I714" s="74">
        <v>26437183</v>
      </c>
      <c r="J714" s="74">
        <f t="shared" si="861"/>
        <v>59396383.583999991</v>
      </c>
      <c r="K714" s="13"/>
      <c r="L714" s="32"/>
      <c r="M714" s="74">
        <f t="shared" si="862"/>
        <v>1867810.8045283016</v>
      </c>
      <c r="N714" s="68">
        <f t="shared" si="863"/>
        <v>2.067280127018107E-2</v>
      </c>
      <c r="O714" s="32">
        <v>31.8</v>
      </c>
      <c r="P714" s="13">
        <v>1869964</v>
      </c>
      <c r="Q714" s="119">
        <f t="shared" si="864"/>
        <v>-2153.1954716984183</v>
      </c>
      <c r="S714" s="13">
        <v>1820509</v>
      </c>
      <c r="T714" s="13">
        <f t="shared" si="865"/>
        <v>47301.804528301582</v>
      </c>
      <c r="V714" s="130" t="s">
        <v>358</v>
      </c>
      <c r="W714" s="130" t="s">
        <v>358</v>
      </c>
      <c r="Y714" s="79">
        <f>(M714*AE714*AI714)+(M714*AF714*AJ714)+(M714*AG714*AK714)+(M714*AH714*AL714)</f>
        <v>1272169.9525721173</v>
      </c>
      <c r="Z714" s="79">
        <f>(P714*AE714*AI714)+(P714*AF714*AJ714)+(P714*AG714*AK714)+(P714*AH714*AL714)</f>
        <v>1273636.4986347421</v>
      </c>
      <c r="AA714" s="79">
        <f>(Q714*AE714*AI714)+(Q714*AF714*AJ714)+(Q714*AG714*AK714)+(Q714*AH714*AL714)</f>
        <v>-1466.5460626248182</v>
      </c>
      <c r="AB714" s="79">
        <f>(S714*AE714*AI714)+(S714*AF714*AJ714)+(S714*AG714*AK714)+(S714*AH714*AL714)</f>
        <v>1239952.5918643544</v>
      </c>
      <c r="AC714" s="79">
        <f>(T714*AE714*AI714)+(T714*AF714*AJ714)+(T714*AG714*AK714)+(T714*AH714*AL714)</f>
        <v>32217.360707762833</v>
      </c>
      <c r="AE714" s="132">
        <v>8.8800000000000004E-2</v>
      </c>
      <c r="AF714" s="132">
        <v>2.3699999999999999E-2</v>
      </c>
      <c r="AG714" s="132">
        <v>0.4476</v>
      </c>
      <c r="AH714" s="132">
        <v>0.43980000000000002</v>
      </c>
      <c r="AI714" s="132">
        <v>0.48812820000000001</v>
      </c>
      <c r="AJ714" s="132">
        <v>0.4200275</v>
      </c>
      <c r="AK714" s="132">
        <v>0.4200217</v>
      </c>
      <c r="AL714" s="132">
        <v>1</v>
      </c>
      <c r="AN714" s="137">
        <f t="shared" si="866"/>
        <v>61538343.833795041</v>
      </c>
    </row>
    <row r="715" spans="1:40">
      <c r="A715" s="14">
        <v>392.01</v>
      </c>
      <c r="B715" s="15" t="s">
        <v>375</v>
      </c>
      <c r="C715" s="138" t="s">
        <v>175</v>
      </c>
      <c r="D715" s="102"/>
      <c r="E715" s="139" t="s">
        <v>333</v>
      </c>
      <c r="F715" s="155">
        <v>10</v>
      </c>
      <c r="G715" s="91">
        <f t="shared" si="860"/>
        <v>1578237.1740000001</v>
      </c>
      <c r="H715" s="74">
        <v>15782371.74</v>
      </c>
      <c r="I715" s="74">
        <v>7805851</v>
      </c>
      <c r="J715" s="74">
        <f t="shared" si="861"/>
        <v>6398283.5659999996</v>
      </c>
      <c r="K715" s="13"/>
      <c r="L715" s="32"/>
      <c r="M715" s="74">
        <f t="shared" si="862"/>
        <v>1122505.8887719298</v>
      </c>
      <c r="N715" s="68">
        <f t="shared" si="863"/>
        <v>7.1124030485669565E-2</v>
      </c>
      <c r="O715" s="32">
        <v>5.7</v>
      </c>
      <c r="P715" s="13">
        <v>1114860</v>
      </c>
      <c r="Q715" s="119">
        <f t="shared" si="864"/>
        <v>7645.8887719297782</v>
      </c>
      <c r="S715" s="13">
        <v>960412</v>
      </c>
      <c r="T715" s="13">
        <f t="shared" si="865"/>
        <v>162093.88877192978</v>
      </c>
      <c r="V715" s="130" t="s">
        <v>358</v>
      </c>
      <c r="W715" s="130" t="s">
        <v>358</v>
      </c>
      <c r="Y715" s="79">
        <f>(M715*AE715*AI715)+(M715*AF715*AJ715)+(M715*AG715*AK715)+(M715*AH715*AL715)</f>
        <v>925773.50422260608</v>
      </c>
      <c r="Z715" s="79">
        <f t="shared" ref="Z715:Z720" si="867">(P715*AE715*AI715)+(P715*AF715*AJ715)+(P715*AG715*AK715)+(P715*AH715*AL715)</f>
        <v>919467.64755665162</v>
      </c>
      <c r="AA715" s="79">
        <f>(Q715*AE715*AI715)+(Q715*AF715*AJ715)+(Q715*AG715*AK715)+(Q715*AH715*AL715)</f>
        <v>6305.8566659545495</v>
      </c>
      <c r="AB715" s="79">
        <f>(S715*AE715*AI715)+(S715*AF715*AJ715)+(S715*AG715*AK715)+(S715*AH715*AL715)</f>
        <v>792088.47956261667</v>
      </c>
      <c r="AC715" s="79">
        <f>(T715*AE715*AI715)+(T715*AF715*AJ715)+(T715*AG715*AK715)+(T715*AH715*AL715)</f>
        <v>133685.02465998943</v>
      </c>
      <c r="AE715" s="132">
        <v>9.2999999999999992E-3</v>
      </c>
      <c r="AF715" s="132">
        <v>0.17649999999999999</v>
      </c>
      <c r="AG715" s="132">
        <v>0.1164</v>
      </c>
      <c r="AH715" s="132">
        <v>0.69779999999999998</v>
      </c>
      <c r="AI715" s="132">
        <v>0.42073509999999997</v>
      </c>
      <c r="AJ715" s="132">
        <v>0.4200275</v>
      </c>
      <c r="AK715" s="132">
        <v>0.4200217</v>
      </c>
      <c r="AL715" s="132">
        <v>1</v>
      </c>
      <c r="AN715" s="137">
        <f t="shared" si="866"/>
        <v>13016325.114043359</v>
      </c>
    </row>
    <row r="716" spans="1:40">
      <c r="A716" s="14">
        <v>392.05</v>
      </c>
      <c r="B716" s="15" t="s">
        <v>376</v>
      </c>
      <c r="C716" s="138" t="s">
        <v>175</v>
      </c>
      <c r="D716" s="102"/>
      <c r="E716" s="139" t="s">
        <v>245</v>
      </c>
      <c r="F716" s="155">
        <v>10</v>
      </c>
      <c r="G716" s="91">
        <f t="shared" si="860"/>
        <v>2149524.5660000001</v>
      </c>
      <c r="H716" s="74">
        <v>21495245.66</v>
      </c>
      <c r="I716" s="74">
        <v>8322264</v>
      </c>
      <c r="J716" s="74">
        <f t="shared" si="861"/>
        <v>11023457.094000001</v>
      </c>
      <c r="K716" s="13"/>
      <c r="L716" s="32"/>
      <c r="M716" s="74">
        <f t="shared" si="862"/>
        <v>1172708.2014893617</v>
      </c>
      <c r="N716" s="68">
        <f t="shared" si="863"/>
        <v>5.4556631733296584E-2</v>
      </c>
      <c r="O716" s="32">
        <v>9.4</v>
      </c>
      <c r="P716" s="13">
        <v>1167990</v>
      </c>
      <c r="Q716" s="119">
        <f t="shared" si="864"/>
        <v>4718.2014893617015</v>
      </c>
      <c r="S716" s="13">
        <v>105347</v>
      </c>
      <c r="T716" s="13">
        <f t="shared" si="865"/>
        <v>1067361.2014893617</v>
      </c>
      <c r="V716" s="130" t="s">
        <v>358</v>
      </c>
      <c r="W716" s="130" t="s">
        <v>358</v>
      </c>
      <c r="Y716" s="79">
        <f>(M716*AE716*AI716)+(M716*AF716*AJ716)+(M716*AG716*AK716)+(M716*AH716*AL716)</f>
        <v>1003021.4359321742</v>
      </c>
      <c r="Z716" s="79">
        <f t="shared" si="867"/>
        <v>998985.94165758253</v>
      </c>
      <c r="AA716" s="79">
        <f>(Q716*AE716*AI716)+(Q716*AF716*AJ716)+(Q716*AG716*AK716)+(Q716*AH716*AL716)</f>
        <v>4035.4942745915705</v>
      </c>
      <c r="AB716" s="79">
        <f>(S716*AE716*AI716)+(S716*AF716*AJ716)+(S716*AG716*AK716)+(S716*AH716*AL716)</f>
        <v>90103.658418138293</v>
      </c>
      <c r="AC716" s="79">
        <f>(T716*AE716*AI716)+(T716*AF716*AJ716)+(T716*AG716*AK716)+(T716*AH716*AL716)</f>
        <v>912917.77751403593</v>
      </c>
      <c r="AE716" s="132">
        <v>9.7000000000000003E-3</v>
      </c>
      <c r="AF716" s="132">
        <v>0.20200000000000001</v>
      </c>
      <c r="AG716" s="132">
        <v>3.78E-2</v>
      </c>
      <c r="AH716" s="132">
        <v>0.75049999999999994</v>
      </c>
      <c r="AI716" s="132">
        <v>0.42073509999999997</v>
      </c>
      <c r="AJ716" s="132">
        <v>0.4200275</v>
      </c>
      <c r="AK716" s="132">
        <v>0.4200217</v>
      </c>
      <c r="AL716" s="132">
        <v>1</v>
      </c>
      <c r="AN716" s="137">
        <f t="shared" si="866"/>
        <v>18384958.969525568</v>
      </c>
    </row>
    <row r="717" spans="1:40">
      <c r="A717" s="14">
        <v>392.09</v>
      </c>
      <c r="B717" s="15" t="s">
        <v>377</v>
      </c>
      <c r="C717" s="138" t="s">
        <v>175</v>
      </c>
      <c r="D717" s="102"/>
      <c r="E717" s="139" t="s">
        <v>246</v>
      </c>
      <c r="F717" s="155">
        <v>25</v>
      </c>
      <c r="G717" s="91">
        <f t="shared" si="860"/>
        <v>1772688.2825</v>
      </c>
      <c r="H717" s="74">
        <v>7090753.1299999999</v>
      </c>
      <c r="I717" s="74">
        <v>2285961</v>
      </c>
      <c r="J717" s="74">
        <f t="shared" si="861"/>
        <v>3032103.8475000001</v>
      </c>
      <c r="K717" s="13"/>
      <c r="L717" s="32"/>
      <c r="M717" s="74">
        <f t="shared" si="862"/>
        <v>181563.10464071858</v>
      </c>
      <c r="N717" s="68">
        <f t="shared" si="863"/>
        <v>2.560561640096453E-2</v>
      </c>
      <c r="O717" s="32">
        <v>16.7</v>
      </c>
      <c r="P717" s="13">
        <v>181561</v>
      </c>
      <c r="Q717" s="119">
        <f t="shared" si="864"/>
        <v>2.1046407185785938</v>
      </c>
      <c r="S717" s="13">
        <v>1145967</v>
      </c>
      <c r="T717" s="13">
        <f t="shared" si="865"/>
        <v>-964403.89535928145</v>
      </c>
      <c r="V717" s="130" t="s">
        <v>358</v>
      </c>
      <c r="W717" s="130" t="s">
        <v>358</v>
      </c>
      <c r="Y717" s="79">
        <f>(M717*AE717*AI717)+(M717*AF717*AJ717)+(M717*AG717*AK717)+(M717*AH717*AL717)</f>
        <v>154135.7377524339</v>
      </c>
      <c r="Z717" s="79">
        <f t="shared" si="867"/>
        <v>154133.95104389254</v>
      </c>
      <c r="AA717" s="79">
        <f>(Q717*AE717*AI717)+(Q717*AF717*AJ717)+(Q717*AG717*AK717)+(Q717*AH717*AL717)</f>
        <v>1.7867085413848554</v>
      </c>
      <c r="AB717" s="79">
        <f>(S717*AE717*AI717)+(S717*AF717*AJ717)+(S717*AG717*AK717)+(S717*AH717*AL717)</f>
        <v>972854.42069561407</v>
      </c>
      <c r="AC717" s="79">
        <f>(T717*AE717*AI717)+(T717*AF717*AJ717)+(T717*AG717*AK717)+(T717*AH717*AL717)</f>
        <v>-818718.68294318009</v>
      </c>
      <c r="AE717" s="132">
        <v>6.7999999999999996E-3</v>
      </c>
      <c r="AF717" s="132">
        <v>0.18160000000000001</v>
      </c>
      <c r="AG717" s="132">
        <v>7.1900000000000006E-2</v>
      </c>
      <c r="AH717" s="132">
        <v>0.73960000000000004</v>
      </c>
      <c r="AI717" s="132">
        <v>0.42073509999999997</v>
      </c>
      <c r="AJ717" s="132">
        <v>0.4200275</v>
      </c>
      <c r="AK717" s="132">
        <v>0.4200217</v>
      </c>
      <c r="AL717" s="132">
        <v>1</v>
      </c>
      <c r="AN717" s="137">
        <f t="shared" si="866"/>
        <v>6019606.6104711229</v>
      </c>
    </row>
    <row r="718" spans="1:40">
      <c r="A718" s="14">
        <v>392.3</v>
      </c>
      <c r="B718" s="15" t="s">
        <v>141</v>
      </c>
      <c r="C718" s="138" t="s">
        <v>175</v>
      </c>
      <c r="D718" s="102"/>
      <c r="E718" s="139" t="s">
        <v>244</v>
      </c>
      <c r="F718" s="155">
        <v>64</v>
      </c>
      <c r="G718" s="91">
        <f t="shared" si="860"/>
        <v>1968812.3263999999</v>
      </c>
      <c r="H718" s="74">
        <v>3076269.26</v>
      </c>
      <c r="I718" s="74">
        <v>439135</v>
      </c>
      <c r="J718" s="74">
        <f t="shared" si="861"/>
        <v>668321.93359999987</v>
      </c>
      <c r="K718" s="13"/>
      <c r="L718" s="32"/>
      <c r="M718" s="74">
        <f t="shared" si="862"/>
        <v>107793.86025806449</v>
      </c>
      <c r="N718" s="68">
        <f t="shared" si="863"/>
        <v>3.5040450346685355E-2</v>
      </c>
      <c r="O718" s="32">
        <v>6.2</v>
      </c>
      <c r="P718" s="13">
        <v>107315</v>
      </c>
      <c r="Q718" s="119">
        <f t="shared" si="864"/>
        <v>478.8602580644947</v>
      </c>
      <c r="S718" s="13">
        <v>171582</v>
      </c>
      <c r="T718" s="13">
        <f t="shared" si="865"/>
        <v>-63788.139741935505</v>
      </c>
      <c r="V718" s="123">
        <v>1</v>
      </c>
      <c r="W718" s="124">
        <v>0.42002220000000001</v>
      </c>
      <c r="Y718" s="79">
        <f>(M718*AE718*AI718)+(M718*AF718*AJ718)</f>
        <v>45275.814332084818</v>
      </c>
      <c r="Z718" s="79">
        <f t="shared" si="867"/>
        <v>45074.682393000003</v>
      </c>
      <c r="AA718" s="79">
        <f>(Q718*AE718*AI718)+(Q718*AF718*AJ718)</f>
        <v>201.13193908481682</v>
      </c>
      <c r="AB718" s="79">
        <f>(S718*AE718*AI718)+(S718*AF718*AJ718)</f>
        <v>72068.249120399996</v>
      </c>
      <c r="AC718" s="79">
        <f>(T718*AE718*AI718)+(T718*AF718*AJ718)</f>
        <v>-26792.434788315182</v>
      </c>
      <c r="AE718" s="132">
        <v>1</v>
      </c>
      <c r="AI718" s="132">
        <v>0.42002220000000001</v>
      </c>
      <c r="AN718" s="137">
        <f t="shared" si="866"/>
        <v>1292101.3823775719</v>
      </c>
    </row>
    <row r="719" spans="1:40">
      <c r="A719" s="14">
        <v>396.03</v>
      </c>
      <c r="B719" s="15" t="s">
        <v>119</v>
      </c>
      <c r="C719" s="138" t="s">
        <v>175</v>
      </c>
      <c r="D719" s="102"/>
      <c r="E719" s="139" t="s">
        <v>334</v>
      </c>
      <c r="F719" s="155">
        <v>10</v>
      </c>
      <c r="G719" s="91">
        <f t="shared" si="860"/>
        <v>629595.65300000005</v>
      </c>
      <c r="H719" s="74">
        <v>6295956.5300000003</v>
      </c>
      <c r="I719" s="74">
        <v>1752852</v>
      </c>
      <c r="J719" s="74">
        <f t="shared" si="861"/>
        <v>3913508.8770000003</v>
      </c>
      <c r="K719" s="13"/>
      <c r="L719" s="32"/>
      <c r="M719" s="74">
        <f t="shared" si="862"/>
        <v>611485.76203125005</v>
      </c>
      <c r="N719" s="68">
        <f t="shared" si="863"/>
        <v>9.7123567978518122E-2</v>
      </c>
      <c r="O719" s="32">
        <v>6.4</v>
      </c>
      <c r="P719" s="13">
        <v>612489</v>
      </c>
      <c r="Q719" s="119">
        <f t="shared" si="864"/>
        <v>-1003.2379687499488</v>
      </c>
      <c r="S719" s="13">
        <v>540516</v>
      </c>
      <c r="T719" s="13">
        <f t="shared" si="865"/>
        <v>70969.762031250051</v>
      </c>
      <c r="V719" s="128" t="s">
        <v>360</v>
      </c>
      <c r="W719" s="129" t="s">
        <v>361</v>
      </c>
      <c r="Y719" s="79">
        <f>(M719*AE719*AI719)+(M719*AF719*AJ719)</f>
        <v>608152.09972572525</v>
      </c>
      <c r="Z719" s="79">
        <f t="shared" si="867"/>
        <v>609149.8683004065</v>
      </c>
      <c r="AA719" s="79">
        <f>(Q719*AE719*AI719)+(Q719*AF719*AJ719)</f>
        <v>-997.76857468133903</v>
      </c>
      <c r="AB719" s="79">
        <f>(S719*AE719*AI719)+(S719*AF719*AJ719)</f>
        <v>537569.24649138597</v>
      </c>
      <c r="AC719" s="79">
        <f>(T719*AE719*AI719)+(T719*AF719*AJ719)</f>
        <v>70582.853234339156</v>
      </c>
      <c r="AE719" s="132">
        <v>9.4000000000000004E-3</v>
      </c>
      <c r="AF719" s="132">
        <v>0.99060000000000004</v>
      </c>
      <c r="AI719" s="132">
        <v>0.4200275</v>
      </c>
      <c r="AJ719" s="132">
        <v>1</v>
      </c>
      <c r="AN719" s="137">
        <f t="shared" si="866"/>
        <v>6261632.6025032029</v>
      </c>
    </row>
    <row r="720" spans="1:40">
      <c r="A720" s="14">
        <v>396.07</v>
      </c>
      <c r="B720" s="15" t="s">
        <v>120</v>
      </c>
      <c r="C720" s="138" t="s">
        <v>175</v>
      </c>
      <c r="D720" s="102"/>
      <c r="E720" s="139" t="s">
        <v>335</v>
      </c>
      <c r="F720" s="155">
        <v>15</v>
      </c>
      <c r="G720" s="91">
        <f t="shared" si="860"/>
        <v>7578027.7649999997</v>
      </c>
      <c r="H720" s="78">
        <v>50520185.100000001</v>
      </c>
      <c r="I720" s="78">
        <v>13443662</v>
      </c>
      <c r="J720" s="74">
        <f t="shared" si="861"/>
        <v>29498495.335000001</v>
      </c>
      <c r="K720" s="13"/>
      <c r="L720" s="32"/>
      <c r="M720" s="74">
        <f t="shared" si="862"/>
        <v>3010050.544387755</v>
      </c>
      <c r="N720" s="68">
        <f t="shared" si="863"/>
        <v>5.9581146395834464E-2</v>
      </c>
      <c r="O720" s="32">
        <v>9.8000000000000007</v>
      </c>
      <c r="P720" s="142">
        <v>3000411</v>
      </c>
      <c r="Q720" s="119">
        <f t="shared" si="864"/>
        <v>9639.5443877549842</v>
      </c>
      <c r="S720" s="13">
        <v>3139793</v>
      </c>
      <c r="T720" s="13">
        <f t="shared" si="865"/>
        <v>-129742.45561224502</v>
      </c>
      <c r="V720" s="130" t="s">
        <v>358</v>
      </c>
      <c r="W720" s="130" t="s">
        <v>358</v>
      </c>
      <c r="Y720" s="79">
        <f>(M720*AE720*AI720)+(M720*AF720*AJ720)+(M720*AG720*AK720)+(M720*AH720*AL720)</f>
        <v>2530473.8076247917</v>
      </c>
      <c r="Z720" s="79">
        <f t="shared" si="867"/>
        <v>2522370.0850357711</v>
      </c>
      <c r="AA720" s="79">
        <f>(Q720*AE720*AI720)+(Q720*AF720*AJ720)+(Q720*AG720*AK720)+(Q720*AH720*AL720)</f>
        <v>8103.7225890211785</v>
      </c>
      <c r="AB720" s="79">
        <f>(S720*AE720*AI720)+(S720*AF720*AJ720)+(S720*AG720*AK720)+(S720*AH720*AL720)</f>
        <v>2639545.0277994308</v>
      </c>
      <c r="AC720" s="79">
        <f>(T720*AE720*AI720)+(T720*AF720*AJ720)+(T720*AG720*AK720)+(T720*AH720*AL720)</f>
        <v>-109071.2201746388</v>
      </c>
      <c r="AE720" s="132">
        <v>8.9999999999999998E-4</v>
      </c>
      <c r="AF720" s="132">
        <v>0.25369999999999998</v>
      </c>
      <c r="AG720" s="132">
        <v>2.0400000000000001E-2</v>
      </c>
      <c r="AH720" s="132">
        <v>0.72509999999999997</v>
      </c>
      <c r="AI720" s="132">
        <v>0.42073509999999997</v>
      </c>
      <c r="AJ720" s="132">
        <v>0.42027500000000001</v>
      </c>
      <c r="AK720" s="132">
        <v>0.42021700000000001</v>
      </c>
      <c r="AL720" s="132">
        <v>1</v>
      </c>
      <c r="AN720" s="137">
        <f t="shared" si="866"/>
        <v>42471049.328478619</v>
      </c>
    </row>
    <row r="721" spans="1:40">
      <c r="A721" s="6"/>
      <c r="B721" s="48" t="s">
        <v>133</v>
      </c>
      <c r="C721" s="23"/>
      <c r="D721" s="102"/>
      <c r="F721" s="154"/>
      <c r="G721" s="72"/>
      <c r="H721" s="77">
        <f>+SUBTOTAL(9,H713:H720)</f>
        <v>194647202.18999997</v>
      </c>
      <c r="I721" s="77">
        <f>+SUBTOTAL(9,I713:I720)</f>
        <v>60504981</v>
      </c>
      <c r="J721" s="77">
        <f>+SUBTOTAL(9,J713:J720)</f>
        <v>113947779.28709999</v>
      </c>
      <c r="K721" s="51"/>
      <c r="L721" s="31"/>
      <c r="M721" s="77">
        <f>+SUBTOTAL(9,M713:M720)</f>
        <v>8074673.6507565035</v>
      </c>
      <c r="N721" s="52">
        <f>+ROUND(M721/H721*100,2)</f>
        <v>4.1500000000000004</v>
      </c>
      <c r="O721" s="31"/>
      <c r="P721" s="51">
        <f>+SUBTOTAL(9,P713:P720)</f>
        <v>8055344</v>
      </c>
      <c r="Q721" s="110">
        <f>+SUBTOTAL(9,Q713:Q720)</f>
        <v>19329.650756503979</v>
      </c>
      <c r="S721" s="107">
        <f>+SUBTOTAL(9,S713:S720)</f>
        <v>7884851</v>
      </c>
      <c r="T721" s="107">
        <f>+SUBTOTAL(9,T713:T720)</f>
        <v>189822.65075650404</v>
      </c>
      <c r="Y721" s="85">
        <f t="shared" ref="Y721:AC721" si="868">+SUBTOTAL(9,Y713:Y720)</f>
        <v>6539742.5888318969</v>
      </c>
      <c r="Z721" s="85">
        <f t="shared" si="868"/>
        <v>6523557.4566076249</v>
      </c>
      <c r="AA721" s="85">
        <f t="shared" si="868"/>
        <v>16185.132224273064</v>
      </c>
      <c r="AB721" s="85">
        <f t="shared" si="868"/>
        <v>6344892.0412457651</v>
      </c>
      <c r="AC721" s="85">
        <f t="shared" si="868"/>
        <v>194850.54758613196</v>
      </c>
    </row>
    <row r="722" spans="1:40">
      <c r="A722" s="14"/>
      <c r="B722" s="29"/>
      <c r="C722" s="23"/>
      <c r="D722" s="102"/>
      <c r="F722" s="154"/>
      <c r="G722" s="72"/>
      <c r="H722" s="77"/>
      <c r="I722" s="77"/>
      <c r="J722" s="77"/>
      <c r="K722" s="51"/>
      <c r="L722" s="31"/>
      <c r="M722" s="77"/>
      <c r="N722" s="52"/>
      <c r="O722" s="31"/>
      <c r="P722" s="51"/>
      <c r="Q722" s="122"/>
      <c r="S722" s="106"/>
      <c r="T722" s="106"/>
    </row>
    <row r="723" spans="1:40">
      <c r="A723" s="6"/>
      <c r="B723" s="61" t="s">
        <v>126</v>
      </c>
      <c r="C723" s="23"/>
      <c r="D723" s="102"/>
      <c r="F723" s="154"/>
      <c r="G723" s="72"/>
      <c r="H723" s="74"/>
      <c r="I723" s="74"/>
      <c r="J723" s="74"/>
      <c r="K723" s="13"/>
      <c r="L723" s="31"/>
      <c r="M723" s="74"/>
      <c r="N723" s="27"/>
      <c r="O723" s="31"/>
      <c r="P723" s="13"/>
      <c r="Q723" s="122"/>
      <c r="S723" s="13"/>
      <c r="T723" s="13"/>
    </row>
    <row r="724" spans="1:40">
      <c r="A724" s="14">
        <v>389.2</v>
      </c>
      <c r="B724" s="15" t="s">
        <v>10</v>
      </c>
      <c r="C724" s="138" t="s">
        <v>175</v>
      </c>
      <c r="D724" s="102"/>
      <c r="E724" s="139" t="s">
        <v>336</v>
      </c>
      <c r="F724" s="155">
        <v>0</v>
      </c>
      <c r="G724" s="91">
        <f t="shared" ref="G724:G730" si="869">H724*F724/100</f>
        <v>0</v>
      </c>
      <c r="H724" s="74">
        <v>4867.6400000000003</v>
      </c>
      <c r="I724" s="74">
        <v>2769</v>
      </c>
      <c r="J724" s="74">
        <f t="shared" ref="J724:J730" si="870">H724-G724-I724</f>
        <v>2098.6400000000003</v>
      </c>
      <c r="K724" s="13"/>
      <c r="L724" s="32"/>
      <c r="M724" s="74">
        <f t="shared" ref="M724:M730" si="871">J724/O724</f>
        <v>86.009836065573793</v>
      </c>
      <c r="N724" s="68">
        <f t="shared" ref="N724:N730" si="872">M724/H724</f>
        <v>1.766972004206839E-2</v>
      </c>
      <c r="O724" s="32">
        <v>24.4</v>
      </c>
      <c r="P724" s="13">
        <v>86</v>
      </c>
      <c r="Q724" s="119">
        <f t="shared" ref="Q724:Q730" si="873">M724-P724</f>
        <v>9.8360655737934621E-3</v>
      </c>
      <c r="S724" s="13">
        <v>81</v>
      </c>
      <c r="T724" s="13">
        <f t="shared" ref="T724:T730" si="874">M724-S724</f>
        <v>5.0098360655737935</v>
      </c>
      <c r="V724" s="123">
        <v>0</v>
      </c>
      <c r="W724" s="124">
        <v>0</v>
      </c>
      <c r="Y724" s="79">
        <f t="shared" ref="Y724:Y730" si="875">(M724*AE724*AI724)+(M724*AF724*AJ724)</f>
        <v>0</v>
      </c>
      <c r="Z724" s="79">
        <f t="shared" ref="Z724:Z730" si="876">(P724*AE724*AI724)+(P724*AF724*AJ724)+(P724*AG724*AK724)+(P724*AH724*AL724)</f>
        <v>0</v>
      </c>
      <c r="AA724" s="79">
        <f t="shared" ref="AA724:AA730" si="877">(Q724*AE724*AI724)+(Q724*AF724*AJ724)</f>
        <v>0</v>
      </c>
      <c r="AB724" s="79">
        <f t="shared" ref="AB724:AB730" si="878">(S724*AE724*AI724)+(S724*AF724*AJ724)</f>
        <v>0</v>
      </c>
      <c r="AC724" s="79">
        <f t="shared" ref="AC724:AC730" si="879">(T724*AE724*AI724)+(T724*AF724*AJ724)</f>
        <v>0</v>
      </c>
      <c r="AE724" s="123">
        <v>0</v>
      </c>
      <c r="AI724" s="124">
        <v>0</v>
      </c>
      <c r="AN724" s="137">
        <f t="shared" ref="AN724:AN730" si="880">(H724*AE724*AI724)+(H724*AF724*AJ724)+(H724*AG724*AK724)+(H724*AH724*AL724)</f>
        <v>0</v>
      </c>
    </row>
    <row r="725" spans="1:40">
      <c r="A725" s="14">
        <v>390</v>
      </c>
      <c r="B725" s="15" t="s">
        <v>162</v>
      </c>
      <c r="C725" s="138" t="s">
        <v>175</v>
      </c>
      <c r="D725" s="102"/>
      <c r="E725" s="139" t="s">
        <v>336</v>
      </c>
      <c r="F725" s="155">
        <v>-5</v>
      </c>
      <c r="G725" s="91">
        <f t="shared" si="869"/>
        <v>-608967.40700000001</v>
      </c>
      <c r="H725" s="74">
        <v>12179348.140000001</v>
      </c>
      <c r="I725" s="74">
        <v>4453282</v>
      </c>
      <c r="J725" s="74">
        <f t="shared" si="870"/>
        <v>8335033.5470000003</v>
      </c>
      <c r="K725" s="13"/>
      <c r="L725" s="32"/>
      <c r="M725" s="74">
        <f t="shared" si="871"/>
        <v>228984.43810439561</v>
      </c>
      <c r="N725" s="68">
        <f t="shared" si="872"/>
        <v>1.8801042179946718E-2</v>
      </c>
      <c r="O725" s="32">
        <v>36.4</v>
      </c>
      <c r="P725" s="13">
        <v>229193</v>
      </c>
      <c r="Q725" s="119">
        <f t="shared" si="873"/>
        <v>-208.56189560439088</v>
      </c>
      <c r="S725" s="13">
        <v>233814</v>
      </c>
      <c r="T725" s="13">
        <f t="shared" si="874"/>
        <v>-4829.5618956043909</v>
      </c>
      <c r="V725" s="128" t="s">
        <v>363</v>
      </c>
      <c r="W725" s="129" t="s">
        <v>364</v>
      </c>
      <c r="Y725" s="79">
        <f t="shared" si="875"/>
        <v>15609.899918795287</v>
      </c>
      <c r="Z725" s="79">
        <f t="shared" si="876"/>
        <v>15624.117611247269</v>
      </c>
      <c r="AA725" s="79">
        <f t="shared" si="877"/>
        <v>-14.217692451984476</v>
      </c>
      <c r="AB725" s="79">
        <f t="shared" si="878"/>
        <v>15939.131802263459</v>
      </c>
      <c r="AC725" s="79">
        <f t="shared" si="879"/>
        <v>-329.23188346817449</v>
      </c>
      <c r="AE725" s="132">
        <v>0.1056</v>
      </c>
      <c r="AF725" s="132">
        <v>5.67E-2</v>
      </c>
      <c r="AI725" s="132">
        <v>0.4200275</v>
      </c>
      <c r="AJ725" s="132">
        <v>0.4200217</v>
      </c>
      <c r="AN725" s="137">
        <f t="shared" si="880"/>
        <v>830267.7994863966</v>
      </c>
    </row>
    <row r="726" spans="1:40">
      <c r="A726" s="14">
        <v>392.01</v>
      </c>
      <c r="B726" s="15" t="s">
        <v>375</v>
      </c>
      <c r="C726" s="138" t="s">
        <v>175</v>
      </c>
      <c r="D726" s="102"/>
      <c r="E726" s="139" t="s">
        <v>337</v>
      </c>
      <c r="F726" s="155">
        <v>10</v>
      </c>
      <c r="G726" s="91">
        <f t="shared" si="869"/>
        <v>249860.552</v>
      </c>
      <c r="H726" s="74">
        <v>2498605.52</v>
      </c>
      <c r="I726" s="74">
        <v>1149671</v>
      </c>
      <c r="J726" s="74">
        <f t="shared" si="870"/>
        <v>1099073.9679999999</v>
      </c>
      <c r="K726" s="13"/>
      <c r="L726" s="32"/>
      <c r="M726" s="74">
        <f t="shared" si="871"/>
        <v>180176.06032786885</v>
      </c>
      <c r="N726" s="68">
        <f t="shared" si="872"/>
        <v>7.2110646873088172E-2</v>
      </c>
      <c r="O726" s="32">
        <v>6.1</v>
      </c>
      <c r="P726" s="13">
        <v>180600</v>
      </c>
      <c r="Q726" s="119">
        <f t="shared" si="873"/>
        <v>-423.93967213114956</v>
      </c>
      <c r="S726" s="13">
        <v>159107</v>
      </c>
      <c r="T726" s="13">
        <f t="shared" si="874"/>
        <v>21069.06032786885</v>
      </c>
      <c r="V726" s="123">
        <v>0.2467</v>
      </c>
      <c r="W726" s="124">
        <v>0.4200275</v>
      </c>
      <c r="Y726" s="79">
        <f t="shared" si="875"/>
        <v>18669.984674249081</v>
      </c>
      <c r="Z726" s="79">
        <f t="shared" si="876"/>
        <v>18713.913635550001</v>
      </c>
      <c r="AA726" s="79">
        <f t="shared" si="877"/>
        <v>-43.928961300917585</v>
      </c>
      <c r="AB726" s="79">
        <f t="shared" si="878"/>
        <v>16486.792119664751</v>
      </c>
      <c r="AC726" s="79">
        <f t="shared" si="879"/>
        <v>2183.1925545843324</v>
      </c>
      <c r="AE726" s="123">
        <v>0.2467</v>
      </c>
      <c r="AI726" s="124">
        <v>0.4200275</v>
      </c>
      <c r="AN726" s="137">
        <f t="shared" si="880"/>
        <v>258907.46351377908</v>
      </c>
    </row>
    <row r="727" spans="1:40">
      <c r="A727" s="14">
        <v>392.05</v>
      </c>
      <c r="B727" s="15" t="s">
        <v>376</v>
      </c>
      <c r="C727" s="138" t="s">
        <v>175</v>
      </c>
      <c r="D727" s="102"/>
      <c r="E727" s="139" t="s">
        <v>236</v>
      </c>
      <c r="F727" s="155">
        <v>15</v>
      </c>
      <c r="G727" s="91">
        <f t="shared" si="869"/>
        <v>444631.48499999999</v>
      </c>
      <c r="H727" s="74">
        <v>2964209.9</v>
      </c>
      <c r="I727" s="74">
        <v>1054982</v>
      </c>
      <c r="J727" s="74">
        <f t="shared" si="870"/>
        <v>1464596.415</v>
      </c>
      <c r="K727" s="13"/>
      <c r="L727" s="32"/>
      <c r="M727" s="74">
        <f t="shared" si="871"/>
        <v>164561.39494382023</v>
      </c>
      <c r="N727" s="68">
        <f t="shared" si="872"/>
        <v>5.5516107325537314E-2</v>
      </c>
      <c r="O727" s="32">
        <v>8.9</v>
      </c>
      <c r="P727" s="13">
        <v>164420</v>
      </c>
      <c r="Q727" s="119">
        <f t="shared" si="873"/>
        <v>141.39494382022531</v>
      </c>
      <c r="S727" s="13">
        <v>161962</v>
      </c>
      <c r="T727" s="13">
        <f t="shared" si="874"/>
        <v>2599.3949438202253</v>
      </c>
      <c r="V727" s="123">
        <v>0.1353</v>
      </c>
      <c r="W727" s="124">
        <v>0.4200275</v>
      </c>
      <c r="Y727" s="79">
        <f t="shared" si="875"/>
        <v>9351.9781208877648</v>
      </c>
      <c r="Z727" s="79">
        <f t="shared" si="876"/>
        <v>9343.9426857150011</v>
      </c>
      <c r="AA727" s="79">
        <f t="shared" si="877"/>
        <v>8.035435172765343</v>
      </c>
      <c r="AB727" s="79">
        <f t="shared" si="878"/>
        <v>9204.2552321114999</v>
      </c>
      <c r="AC727" s="79">
        <f t="shared" si="879"/>
        <v>147.72288877626534</v>
      </c>
      <c r="AE727" s="123">
        <v>0.1353</v>
      </c>
      <c r="AI727" s="124">
        <v>0.4200275</v>
      </c>
      <c r="AN727" s="137">
        <f t="shared" si="880"/>
        <v>168455.22086138543</v>
      </c>
    </row>
    <row r="728" spans="1:40">
      <c r="A728" s="14">
        <v>392.09</v>
      </c>
      <c r="B728" s="15" t="s">
        <v>377</v>
      </c>
      <c r="C728" s="138" t="s">
        <v>175</v>
      </c>
      <c r="D728" s="102"/>
      <c r="E728" s="139" t="s">
        <v>237</v>
      </c>
      <c r="F728" s="155">
        <v>10</v>
      </c>
      <c r="G728" s="91">
        <f t="shared" si="869"/>
        <v>97896.098000000013</v>
      </c>
      <c r="H728" s="74">
        <v>978960.98</v>
      </c>
      <c r="I728" s="74">
        <v>256781</v>
      </c>
      <c r="J728" s="74">
        <f t="shared" si="870"/>
        <v>624283.88199999998</v>
      </c>
      <c r="K728" s="13"/>
      <c r="L728" s="32"/>
      <c r="M728" s="74">
        <f t="shared" si="871"/>
        <v>26341.092067510548</v>
      </c>
      <c r="N728" s="68">
        <f t="shared" si="872"/>
        <v>2.6907193040023463E-2</v>
      </c>
      <c r="O728" s="32">
        <v>23.7</v>
      </c>
      <c r="P728" s="13">
        <v>26364</v>
      </c>
      <c r="Q728" s="119">
        <f t="shared" si="873"/>
        <v>-22.907932489451923</v>
      </c>
      <c r="S728" s="13">
        <v>25712</v>
      </c>
      <c r="T728" s="13">
        <f t="shared" si="874"/>
        <v>629.09206751054808</v>
      </c>
      <c r="V728" s="123">
        <v>0.94710000000000005</v>
      </c>
      <c r="W728" s="124">
        <v>0.4200275</v>
      </c>
      <c r="Y728" s="79">
        <f t="shared" si="875"/>
        <v>10478.698345126651</v>
      </c>
      <c r="Z728" s="79">
        <f t="shared" si="876"/>
        <v>10487.811304971001</v>
      </c>
      <c r="AA728" s="79">
        <f t="shared" si="877"/>
        <v>-9.1129598443478361</v>
      </c>
      <c r="AB728" s="79">
        <f t="shared" si="878"/>
        <v>10228.440459468</v>
      </c>
      <c r="AC728" s="79">
        <f t="shared" si="879"/>
        <v>250.25788565865216</v>
      </c>
      <c r="AE728" s="123">
        <v>0.94710000000000005</v>
      </c>
      <c r="AI728" s="124">
        <v>0.4200275</v>
      </c>
      <c r="AN728" s="137">
        <f t="shared" si="880"/>
        <v>389438.55382982438</v>
      </c>
    </row>
    <row r="729" spans="1:40">
      <c r="A729" s="14">
        <v>396.03</v>
      </c>
      <c r="B729" s="15" t="s">
        <v>119</v>
      </c>
      <c r="C729" s="138" t="s">
        <v>175</v>
      </c>
      <c r="D729" s="102"/>
      <c r="E729" s="139" t="s">
        <v>338</v>
      </c>
      <c r="F729" s="155">
        <v>10</v>
      </c>
      <c r="G729" s="91">
        <f t="shared" si="869"/>
        <v>209437.92300000001</v>
      </c>
      <c r="H729" s="74">
        <v>2094379.23</v>
      </c>
      <c r="I729" s="74">
        <v>657093</v>
      </c>
      <c r="J729" s="74">
        <f t="shared" si="870"/>
        <v>1227848.307</v>
      </c>
      <c r="K729" s="13"/>
      <c r="L729" s="32"/>
      <c r="M729" s="74">
        <f t="shared" si="871"/>
        <v>219258.62625000003</v>
      </c>
      <c r="N729" s="68">
        <f t="shared" si="872"/>
        <v>0.104689075936835</v>
      </c>
      <c r="O729" s="32">
        <v>5.6</v>
      </c>
      <c r="P729" s="13">
        <v>220935</v>
      </c>
      <c r="Q729" s="119">
        <f t="shared" si="873"/>
        <v>-1676.3737499999697</v>
      </c>
      <c r="S729" s="13">
        <v>196713</v>
      </c>
      <c r="T729" s="13">
        <f t="shared" si="874"/>
        <v>22545.62625000003</v>
      </c>
      <c r="V729" s="123">
        <v>0.95909999999999995</v>
      </c>
      <c r="W729" s="124">
        <v>0.4200275</v>
      </c>
      <c r="Y729" s="79">
        <f t="shared" si="875"/>
        <v>88327.981344359505</v>
      </c>
      <c r="Z729" s="79">
        <f t="shared" si="876"/>
        <v>89003.305785858742</v>
      </c>
      <c r="AA729" s="79">
        <f t="shared" si="877"/>
        <v>-675.32444149923742</v>
      </c>
      <c r="AB729" s="79">
        <f t="shared" si="878"/>
        <v>79245.512440553241</v>
      </c>
      <c r="AC729" s="79">
        <f t="shared" si="879"/>
        <v>9082.4689038062625</v>
      </c>
      <c r="AE729" s="123">
        <v>0.95909999999999995</v>
      </c>
      <c r="AI729" s="124">
        <v>0.4200275</v>
      </c>
      <c r="AN729" s="137">
        <f t="shared" si="880"/>
        <v>843717.26996284607</v>
      </c>
    </row>
    <row r="730" spans="1:40">
      <c r="A730" s="14">
        <v>396.07</v>
      </c>
      <c r="B730" s="15" t="s">
        <v>120</v>
      </c>
      <c r="C730" s="138" t="s">
        <v>175</v>
      </c>
      <c r="D730" s="102"/>
      <c r="E730" s="139" t="s">
        <v>238</v>
      </c>
      <c r="F730" s="155">
        <v>25</v>
      </c>
      <c r="G730" s="91">
        <f t="shared" si="869"/>
        <v>1746652.4775</v>
      </c>
      <c r="H730" s="74">
        <v>6986609.9100000001</v>
      </c>
      <c r="I730" s="74">
        <v>1381675</v>
      </c>
      <c r="J730" s="74">
        <f t="shared" si="870"/>
        <v>3858282.4325000001</v>
      </c>
      <c r="K730" s="13"/>
      <c r="L730" s="32"/>
      <c r="M730" s="74">
        <f t="shared" si="871"/>
        <v>287931.52481343283</v>
      </c>
      <c r="N730" s="68">
        <f t="shared" si="872"/>
        <v>4.1211907995795466E-2</v>
      </c>
      <c r="O730" s="32">
        <v>13.4</v>
      </c>
      <c r="P730" s="13">
        <v>288311</v>
      </c>
      <c r="Q730" s="119">
        <f t="shared" si="873"/>
        <v>-379.47518656717148</v>
      </c>
      <c r="S730" s="13">
        <v>286623</v>
      </c>
      <c r="T730" s="13">
        <f t="shared" si="874"/>
        <v>1308.5248134328285</v>
      </c>
      <c r="V730" s="123">
        <v>0.1197</v>
      </c>
      <c r="W730" s="124">
        <v>0.4200275</v>
      </c>
      <c r="Y730" s="79">
        <f t="shared" si="875"/>
        <v>14476.417277067325</v>
      </c>
      <c r="Z730" s="79">
        <f t="shared" si="876"/>
        <v>14495.49626173425</v>
      </c>
      <c r="AA730" s="79">
        <f t="shared" si="877"/>
        <v>-19.078984666923361</v>
      </c>
      <c r="AB730" s="79">
        <f t="shared" si="878"/>
        <v>14410.628193260249</v>
      </c>
      <c r="AC730" s="79">
        <f t="shared" si="879"/>
        <v>65.789083807076636</v>
      </c>
      <c r="AE730" s="123">
        <v>0.1197</v>
      </c>
      <c r="AI730" s="124">
        <v>0.4200275</v>
      </c>
      <c r="AN730" s="137">
        <f t="shared" si="880"/>
        <v>351267.82478851121</v>
      </c>
    </row>
    <row r="731" spans="1:40">
      <c r="A731" s="6"/>
      <c r="B731" s="48" t="s">
        <v>127</v>
      </c>
      <c r="C731" s="23"/>
      <c r="D731" s="102"/>
      <c r="F731" s="154"/>
      <c r="G731" s="72"/>
      <c r="H731" s="83">
        <f>+SUBTOTAL(9,H724:H730)</f>
        <v>27706981.32</v>
      </c>
      <c r="I731" s="83">
        <f>+SUBTOTAL(9,I724:I730)</f>
        <v>8956253</v>
      </c>
      <c r="J731" s="83">
        <f>+SUBTOTAL(9,J724:J730)</f>
        <v>16611217.191500001</v>
      </c>
      <c r="K731" s="51"/>
      <c r="L731" s="31"/>
      <c r="M731" s="83">
        <f>+SUBTOTAL(9,M724:M730)</f>
        <v>1107339.1463430938</v>
      </c>
      <c r="N731" s="52">
        <f>+ROUND(M731/H731*100,2)</f>
        <v>4</v>
      </c>
      <c r="O731" s="31"/>
      <c r="P731" s="106">
        <f>+SUBTOTAL(9,P724:P730)</f>
        <v>1109909</v>
      </c>
      <c r="Q731" s="109">
        <f>+SUBTOTAL(9,Q724:Q730)</f>
        <v>-2569.8536569063344</v>
      </c>
      <c r="S731" s="106">
        <f>+SUBTOTAL(9,S724:S730)</f>
        <v>1064012</v>
      </c>
      <c r="T731" s="106">
        <f>+SUBTOTAL(9,T724:T730)</f>
        <v>43327.146343093671</v>
      </c>
      <c r="Y731" s="83">
        <f t="shared" ref="Y731:AC731" si="881">+SUBTOTAL(9,Y724:Y730)</f>
        <v>156914.9596804856</v>
      </c>
      <c r="Z731" s="83">
        <f t="shared" si="881"/>
        <v>157668.58728507627</v>
      </c>
      <c r="AA731" s="83">
        <f t="shared" si="881"/>
        <v>-753.62760459064532</v>
      </c>
      <c r="AB731" s="83">
        <f t="shared" si="881"/>
        <v>145514.76024732122</v>
      </c>
      <c r="AC731" s="83">
        <f t="shared" si="881"/>
        <v>11400.199433164415</v>
      </c>
    </row>
    <row r="732" spans="1:40">
      <c r="A732" s="14"/>
      <c r="B732" s="17"/>
      <c r="C732" s="23"/>
      <c r="D732" s="102"/>
      <c r="F732" s="154"/>
      <c r="G732" s="72"/>
      <c r="H732" s="74"/>
      <c r="I732" s="74"/>
      <c r="J732" s="74"/>
      <c r="K732" s="13"/>
      <c r="L732" s="31"/>
      <c r="M732" s="74"/>
      <c r="N732" s="27"/>
      <c r="O732" s="31"/>
      <c r="P732" s="13"/>
      <c r="Q732" s="122"/>
      <c r="S732" s="106"/>
      <c r="T732" s="106"/>
    </row>
    <row r="733" spans="1:40">
      <c r="A733" s="6"/>
      <c r="B733" s="61" t="s">
        <v>123</v>
      </c>
      <c r="C733" s="23"/>
      <c r="D733" s="102"/>
      <c r="F733" s="154"/>
      <c r="G733" s="72"/>
      <c r="H733" s="74"/>
      <c r="I733" s="74"/>
      <c r="J733" s="74"/>
      <c r="K733" s="13"/>
      <c r="L733" s="31"/>
      <c r="M733" s="74"/>
      <c r="N733" s="27"/>
      <c r="O733" s="31"/>
      <c r="P733" s="13"/>
      <c r="Q733" s="110"/>
      <c r="S733" s="13"/>
      <c r="T733" s="13"/>
    </row>
    <row r="734" spans="1:40">
      <c r="A734" s="14">
        <v>390</v>
      </c>
      <c r="B734" s="15" t="s">
        <v>162</v>
      </c>
      <c r="C734" s="138"/>
      <c r="D734" s="102"/>
      <c r="E734" s="139" t="s">
        <v>339</v>
      </c>
      <c r="F734" s="155">
        <v>0</v>
      </c>
      <c r="G734" s="91">
        <f t="shared" ref="G734:G738" si="882">H734*F734/100</f>
        <v>0</v>
      </c>
      <c r="H734" s="74">
        <v>383797.68</v>
      </c>
      <c r="I734" s="74">
        <v>225351</v>
      </c>
      <c r="J734" s="74">
        <f t="shared" ref="J734:J738" si="883">H734-G734-I734</f>
        <v>158446.68</v>
      </c>
      <c r="K734" s="13"/>
      <c r="L734" s="32"/>
      <c r="M734" s="74">
        <f>J734/O734</f>
        <v>6001.7681818181818</v>
      </c>
      <c r="N734" s="68">
        <f t="shared" ref="N734:N738" si="884">M734/H734</f>
        <v>1.5637843829118984E-2</v>
      </c>
      <c r="O734" s="32">
        <v>26.4</v>
      </c>
      <c r="P734" s="13">
        <v>6001</v>
      </c>
      <c r="Q734" s="119">
        <f t="shared" ref="Q734:Q738" si="885">M734-P734</f>
        <v>0.76818181818180165</v>
      </c>
      <c r="S734" s="13">
        <v>5647</v>
      </c>
      <c r="T734" s="13">
        <f t="shared" ref="T734:T738" si="886">M734-S734</f>
        <v>354.7681818181818</v>
      </c>
      <c r="V734" s="123">
        <v>1</v>
      </c>
      <c r="W734" s="124">
        <v>0.4200275</v>
      </c>
      <c r="Y734" s="79">
        <f>(M734*AE734*AI734)+(M734*AF734*AJ734)</f>
        <v>2520.9076849886364</v>
      </c>
      <c r="Z734" s="79">
        <f t="shared" ref="Z734:Z738" si="887">(P734*AE734*AI734)+(P734*AF734*AJ734)+(P734*AG734*AK734)+(P734*AH734*AL734)</f>
        <v>2520.5850274999998</v>
      </c>
      <c r="AA734" s="79">
        <f>(Q734*AE734*AI734)+(Q734*AF734*AJ734)</f>
        <v>0.32265748863635668</v>
      </c>
      <c r="AB734" s="79">
        <f>(S734*AE734*AI734)+(S734*AF734*AJ734)</f>
        <v>2371.8952924999999</v>
      </c>
      <c r="AC734" s="79">
        <f>(T734*AE734*AI734)+(T734*AF734*AJ734)</f>
        <v>149.01239248863635</v>
      </c>
      <c r="AE734" s="123">
        <v>1</v>
      </c>
      <c r="AI734" s="124">
        <v>0.4200275</v>
      </c>
      <c r="AN734" s="137">
        <f t="shared" ref="AN734:AN738" si="888">(H734*AE734*AI734)+(H734*AF734*AJ734)+(H734*AG734*AK734)+(H734*AH734*AL734)</f>
        <v>161205.5800362</v>
      </c>
    </row>
    <row r="735" spans="1:40">
      <c r="A735" s="14">
        <v>392.01</v>
      </c>
      <c r="B735" s="15" t="s">
        <v>375</v>
      </c>
      <c r="C735" s="138"/>
      <c r="D735" s="102"/>
      <c r="E735" s="139" t="s">
        <v>340</v>
      </c>
      <c r="F735" s="155">
        <v>0</v>
      </c>
      <c r="G735" s="91">
        <f t="shared" si="882"/>
        <v>0</v>
      </c>
      <c r="H735" s="74">
        <v>581852</v>
      </c>
      <c r="I735" s="74">
        <v>379706</v>
      </c>
      <c r="J735" s="74">
        <f t="shared" si="883"/>
        <v>202146</v>
      </c>
      <c r="K735" s="13"/>
      <c r="L735" s="32"/>
      <c r="M735" s="74">
        <f>J735/O735</f>
        <v>17732.105263157893</v>
      </c>
      <c r="N735" s="68">
        <f t="shared" si="884"/>
        <v>3.0475284545138443E-2</v>
      </c>
      <c r="O735" s="32">
        <v>11.4</v>
      </c>
      <c r="P735" s="13">
        <v>17662</v>
      </c>
      <c r="Q735" s="119">
        <f t="shared" si="885"/>
        <v>70.105263157893205</v>
      </c>
      <c r="S735" s="13">
        <v>11598</v>
      </c>
      <c r="T735" s="13">
        <f t="shared" si="886"/>
        <v>6134.1052631578932</v>
      </c>
      <c r="V735" s="123">
        <v>1</v>
      </c>
      <c r="W735" s="124">
        <v>0.4200275</v>
      </c>
      <c r="Y735" s="79">
        <f>(M735*AE735*AI735)+(M735*AF735*AJ735)</f>
        <v>7447.9718434210517</v>
      </c>
      <c r="Z735" s="79">
        <f t="shared" si="887"/>
        <v>7418.525705</v>
      </c>
      <c r="AA735" s="79">
        <f>(Q735*AE735*AI735)+(Q735*AF735*AJ735)</f>
        <v>29.446138421051987</v>
      </c>
      <c r="AB735" s="79">
        <f>(S735*AE735*AI735)+(S735*AF735*AJ735)</f>
        <v>4871.4789449999998</v>
      </c>
      <c r="AC735" s="79">
        <f>(T735*AE735*AI735)+(T735*AF735*AJ735)</f>
        <v>2576.4928984210519</v>
      </c>
      <c r="AE735" s="123">
        <v>1</v>
      </c>
      <c r="AI735" s="124">
        <v>0.4200275</v>
      </c>
      <c r="AN735" s="137">
        <f t="shared" si="888"/>
        <v>244393.84093000001</v>
      </c>
    </row>
    <row r="736" spans="1:40">
      <c r="A736" s="14">
        <v>392.05</v>
      </c>
      <c r="B736" s="15" t="s">
        <v>376</v>
      </c>
      <c r="C736" s="138"/>
      <c r="D736" s="102"/>
      <c r="E736" s="139" t="s">
        <v>341</v>
      </c>
      <c r="F736" s="155">
        <v>15</v>
      </c>
      <c r="G736" s="91">
        <f t="shared" si="882"/>
        <v>43946.989500000003</v>
      </c>
      <c r="H736" s="74">
        <v>292979.93</v>
      </c>
      <c r="I736" s="74">
        <v>147888</v>
      </c>
      <c r="J736" s="74">
        <f t="shared" si="883"/>
        <v>101144.9405</v>
      </c>
      <c r="K736" s="13"/>
      <c r="L736" s="32"/>
      <c r="M736" s="74">
        <f>J736/O736</f>
        <v>6927.7356506849319</v>
      </c>
      <c r="N736" s="68">
        <f t="shared" si="884"/>
        <v>2.3645768673249842E-2</v>
      </c>
      <c r="O736" s="32">
        <v>14.6</v>
      </c>
      <c r="P736" s="13">
        <v>6905</v>
      </c>
      <c r="Q736" s="119">
        <f t="shared" si="885"/>
        <v>22.735650684931898</v>
      </c>
      <c r="S736" s="13">
        <v>5368</v>
      </c>
      <c r="T736" s="13">
        <f t="shared" si="886"/>
        <v>1559.7356506849319</v>
      </c>
      <c r="V736" s="123">
        <v>1</v>
      </c>
      <c r="W736" s="124">
        <v>0.4200275</v>
      </c>
      <c r="Y736" s="79">
        <f>(M736*AE736*AI736)+(M736*AF736*AJ736)</f>
        <v>2909.8394860180651</v>
      </c>
      <c r="Z736" s="79">
        <f t="shared" si="887"/>
        <v>2900.2898875000001</v>
      </c>
      <c r="AA736" s="79">
        <f>(Q736*AE736*AI736)+(Q736*AF736*AJ736)</f>
        <v>9.549598518065233</v>
      </c>
      <c r="AB736" s="79">
        <f>(S736*AE736*AI736)+(S736*AF736*AJ736)</f>
        <v>2254.7076200000001</v>
      </c>
      <c r="AC736" s="79">
        <f>(T736*AE736*AI736)+(T736*AF736*AJ736)</f>
        <v>655.13186601806524</v>
      </c>
      <c r="AE736" s="123">
        <v>1</v>
      </c>
      <c r="AI736" s="124">
        <v>0.4200275</v>
      </c>
      <c r="AN736" s="137">
        <f t="shared" si="888"/>
        <v>123059.62754807499</v>
      </c>
    </row>
    <row r="737" spans="1:40">
      <c r="A737" s="14">
        <v>392.09</v>
      </c>
      <c r="B737" s="15" t="s">
        <v>174</v>
      </c>
      <c r="C737" s="138" t="s">
        <v>175</v>
      </c>
      <c r="E737" s="139" t="s">
        <v>232</v>
      </c>
      <c r="F737" s="155">
        <v>0</v>
      </c>
      <c r="G737" s="91">
        <f t="shared" si="882"/>
        <v>0</v>
      </c>
      <c r="H737" s="74">
        <v>8560.4599999999991</v>
      </c>
      <c r="I737" s="74">
        <v>5973</v>
      </c>
      <c r="J737" s="74">
        <f t="shared" si="883"/>
        <v>2587.4599999999991</v>
      </c>
      <c r="K737" s="13"/>
      <c r="L737" s="32"/>
      <c r="M737" s="74">
        <f>J737/O737</f>
        <v>187.49710144927528</v>
      </c>
      <c r="N737" s="68">
        <f t="shared" si="884"/>
        <v>2.1902689978023995E-2</v>
      </c>
      <c r="O737" s="32">
        <v>13.8</v>
      </c>
      <c r="P737" s="13">
        <v>187</v>
      </c>
      <c r="Q737" s="119">
        <f t="shared" si="885"/>
        <v>0.49710144927527722</v>
      </c>
      <c r="S737" s="13">
        <v>171</v>
      </c>
      <c r="T737" s="13">
        <f t="shared" si="886"/>
        <v>16.497101449275277</v>
      </c>
      <c r="V737" s="123">
        <v>1</v>
      </c>
      <c r="W737" s="124">
        <v>0.4200275</v>
      </c>
      <c r="Y737" s="79">
        <f>(M737*AE737*AI737)+(M737*AF737*AJ737)</f>
        <v>78.753938778985471</v>
      </c>
      <c r="Z737" s="79">
        <f t="shared" si="887"/>
        <v>78.545142499999997</v>
      </c>
      <c r="AA737" s="79">
        <f>(Q737*AE737*AI737)+(Q737*AF737*AJ737)</f>
        <v>0.20879627898547151</v>
      </c>
      <c r="AB737" s="79">
        <f>(S737*AE737*AI737)+(S737*AF737*AJ737)</f>
        <v>71.824702500000001</v>
      </c>
      <c r="AC737" s="79">
        <f>(T737*AE737*AI737)+(T737*AF737*AJ737)</f>
        <v>6.9292362789854716</v>
      </c>
      <c r="AE737" s="123">
        <v>1</v>
      </c>
      <c r="AI737" s="124">
        <v>0.4200275</v>
      </c>
      <c r="AN737" s="137">
        <f t="shared" si="888"/>
        <v>3595.6286126499995</v>
      </c>
    </row>
    <row r="738" spans="1:40">
      <c r="A738" s="14">
        <v>396.07</v>
      </c>
      <c r="B738" s="15" t="s">
        <v>120</v>
      </c>
      <c r="C738" s="138" t="s">
        <v>175</v>
      </c>
      <c r="E738" s="139" t="s">
        <v>206</v>
      </c>
      <c r="F738" s="155">
        <v>5</v>
      </c>
      <c r="G738" s="91">
        <f t="shared" si="882"/>
        <v>122434.88200000001</v>
      </c>
      <c r="H738" s="74">
        <v>2448697.64</v>
      </c>
      <c r="I738" s="74">
        <v>1325083</v>
      </c>
      <c r="J738" s="74">
        <f t="shared" si="883"/>
        <v>1001179.7579999999</v>
      </c>
      <c r="K738" s="13"/>
      <c r="L738" s="32"/>
      <c r="M738" s="74">
        <f>J738/O738</f>
        <v>53826.868709677408</v>
      </c>
      <c r="N738" s="68">
        <f t="shared" si="884"/>
        <v>2.1981835499166571E-2</v>
      </c>
      <c r="O738" s="32">
        <v>18.600000000000001</v>
      </c>
      <c r="P738" s="13">
        <v>53861</v>
      </c>
      <c r="Q738" s="119">
        <f t="shared" si="885"/>
        <v>-34.131290322591667</v>
      </c>
      <c r="S738" s="13">
        <v>41933</v>
      </c>
      <c r="T738" s="13">
        <f t="shared" si="886"/>
        <v>11893.868709677408</v>
      </c>
      <c r="V738" s="123">
        <v>1</v>
      </c>
      <c r="W738" s="124">
        <v>0.4200275</v>
      </c>
      <c r="Y738" s="79">
        <f>(M738*AE738*AI738)+(M738*AF738*AJ738)</f>
        <v>22608.765096954026</v>
      </c>
      <c r="Z738" s="79">
        <f t="shared" si="887"/>
        <v>22623.101177500001</v>
      </c>
      <c r="AA738" s="79">
        <f>(Q738*AE738*AI738)+(Q738*AF738*AJ738)</f>
        <v>-14.336080545972372</v>
      </c>
      <c r="AB738" s="79">
        <f>(S738*AE738*AI738)+(S738*AF738*AJ738)</f>
        <v>17613.013157500001</v>
      </c>
      <c r="AC738" s="79">
        <f>(T738*AE738*AI738)+(T738*AF738*AJ738)</f>
        <v>4995.7519394540277</v>
      </c>
      <c r="AE738" s="123">
        <v>1</v>
      </c>
      <c r="AI738" s="124">
        <v>0.4200275</v>
      </c>
      <c r="AN738" s="137">
        <f t="shared" si="888"/>
        <v>1028520.3479851</v>
      </c>
    </row>
    <row r="739" spans="1:40">
      <c r="A739" s="6"/>
      <c r="B739" s="48" t="s">
        <v>124</v>
      </c>
      <c r="C739" s="23"/>
      <c r="D739" s="102"/>
      <c r="F739" s="154"/>
      <c r="G739" s="72"/>
      <c r="H739" s="85">
        <f>+SUBTOTAL(9,H734:H738)</f>
        <v>3715887.71</v>
      </c>
      <c r="I739" s="85">
        <f>+SUBTOTAL(9,I734:I738)</f>
        <v>2084001</v>
      </c>
      <c r="J739" s="85">
        <f>+SUBTOTAL(9,J734:J738)</f>
        <v>1465504.8384999998</v>
      </c>
      <c r="K739" s="51"/>
      <c r="L739" s="31"/>
      <c r="M739" s="85">
        <f>+SUBTOTAL(9,M734:M738)</f>
        <v>84675.974906787684</v>
      </c>
      <c r="N739" s="52">
        <f>+ROUND(M739/H739*100,2)</f>
        <v>2.2799999999999998</v>
      </c>
      <c r="O739" s="31"/>
      <c r="P739" s="107">
        <f>+SUBTOTAL(9,P734:P738)</f>
        <v>84616</v>
      </c>
      <c r="Q739" s="111">
        <f>+SUBTOTAL(9,Q734:Q738)</f>
        <v>59.974906787690514</v>
      </c>
      <c r="S739" s="106">
        <f>+SUBTOTAL(9,S734:S738)</f>
        <v>64717</v>
      </c>
      <c r="T739" s="106">
        <f>+SUBTOTAL(9,T734:T738)</f>
        <v>19958.974906787691</v>
      </c>
      <c r="Y739" s="83">
        <f t="shared" ref="Y739:AC739" si="889">+SUBTOTAL(9,Y734:Y738)</f>
        <v>35566.238050160769</v>
      </c>
      <c r="Z739" s="83">
        <f t="shared" ref="Z739" si="890">+SUBTOTAL(9,Z734:Z738)</f>
        <v>35541.04694</v>
      </c>
      <c r="AA739" s="83">
        <f t="shared" si="889"/>
        <v>25.191110160766677</v>
      </c>
      <c r="AB739" s="83">
        <f t="shared" si="889"/>
        <v>27182.919717500001</v>
      </c>
      <c r="AC739" s="83">
        <f t="shared" si="889"/>
        <v>8383.3183326607668</v>
      </c>
    </row>
    <row r="740" spans="1:40">
      <c r="A740" s="14"/>
      <c r="B740" s="17"/>
      <c r="C740" s="23"/>
      <c r="D740" s="102"/>
      <c r="F740" s="154"/>
      <c r="G740" s="72"/>
      <c r="H740" s="74"/>
      <c r="I740" s="74"/>
      <c r="J740" s="74"/>
      <c r="K740" s="13"/>
      <c r="L740" s="31"/>
      <c r="M740" s="74"/>
      <c r="N740" s="27"/>
      <c r="O740" s="31"/>
      <c r="P740" s="13"/>
      <c r="Q740" s="98"/>
      <c r="S740" s="106"/>
      <c r="T740" s="106"/>
      <c r="Y740" s="83"/>
      <c r="Z740" s="83"/>
      <c r="AA740" s="83"/>
      <c r="AB740" s="83"/>
      <c r="AC740" s="83"/>
    </row>
    <row r="741" spans="1:40">
      <c r="A741" s="6"/>
      <c r="B741" s="62" t="s">
        <v>134</v>
      </c>
      <c r="C741" s="23"/>
      <c r="D741" s="102"/>
      <c r="F741" s="154"/>
      <c r="G741" s="72"/>
      <c r="H741" s="77">
        <f>+SUBTOTAL(9,H675:H739)</f>
        <v>454793010.87000006</v>
      </c>
      <c r="I741" s="77">
        <f>+SUBTOTAL(9,I675:I739)</f>
        <v>133453357</v>
      </c>
      <c r="J741" s="77">
        <f>+SUBTOTAL(9,J675:J739)</f>
        <v>287333964.80660009</v>
      </c>
      <c r="K741" s="51"/>
      <c r="L741" s="31"/>
      <c r="M741" s="77">
        <f>+SUBTOTAL(9,M675:M739)</f>
        <v>18914152.075014286</v>
      </c>
      <c r="N741" s="52">
        <f>+ROUND(M741/H741*100,2)</f>
        <v>4.16</v>
      </c>
      <c r="O741" s="31"/>
      <c r="P741" s="51">
        <f>+SUBTOTAL(9,P675:P739)</f>
        <v>18889059</v>
      </c>
      <c r="Q741" s="110">
        <f>+SUBTOTAL(9,Q675:Q739)</f>
        <v>25093.075014292663</v>
      </c>
      <c r="S741" s="51">
        <f>+SUBTOTAL(9,S675:S740)</f>
        <v>18358851</v>
      </c>
      <c r="T741" s="51">
        <f>+SUBTOTAL(9,T675:T740)</f>
        <v>555301.07501429261</v>
      </c>
      <c r="Y741" s="77">
        <f t="shared" ref="Y741:AC741" si="891">+SUBTOTAL(9,Y675:Y740)</f>
        <v>7775539.6089249235</v>
      </c>
      <c r="Z741" s="77">
        <f t="shared" ref="Z741" si="892">+SUBTOTAL(9,Z675:Z740)</f>
        <v>8925198.5576594416</v>
      </c>
      <c r="AA741" s="77">
        <f t="shared" si="891"/>
        <v>17365.30445032235</v>
      </c>
      <c r="AB741" s="77">
        <f t="shared" si="891"/>
        <v>7576500.3995892759</v>
      </c>
      <c r="AC741" s="77">
        <f t="shared" si="891"/>
        <v>199039.2093356479</v>
      </c>
    </row>
    <row r="742" spans="1:40">
      <c r="A742" s="6"/>
      <c r="B742" s="50"/>
      <c r="C742" s="23"/>
      <c r="D742" s="102"/>
      <c r="F742" s="154"/>
      <c r="G742" s="72"/>
      <c r="H742" s="74"/>
      <c r="I742" s="74"/>
      <c r="J742" s="74"/>
      <c r="K742" s="13"/>
      <c r="L742" s="31"/>
      <c r="M742" s="74"/>
      <c r="N742" s="27"/>
      <c r="O742" s="31"/>
      <c r="P742" s="13"/>
      <c r="Q742" s="98"/>
      <c r="S742" s="13"/>
      <c r="T742" s="13"/>
    </row>
    <row r="743" spans="1:40">
      <c r="A743" s="14"/>
      <c r="B743" s="29"/>
      <c r="C743" s="43"/>
      <c r="D743" s="102"/>
      <c r="F743" s="156"/>
      <c r="I743" s="73"/>
      <c r="J743" s="73"/>
      <c r="K743" s="19"/>
      <c r="L743" s="31"/>
      <c r="M743" s="73"/>
      <c r="N743" s="27"/>
      <c r="O743" s="31"/>
      <c r="P743" s="19"/>
      <c r="Q743" s="122"/>
      <c r="S743" s="19"/>
      <c r="T743" s="19"/>
    </row>
    <row r="744" spans="1:40">
      <c r="A744" s="46" t="s">
        <v>2</v>
      </c>
      <c r="B744" s="26"/>
      <c r="C744" s="43"/>
      <c r="D744" s="102"/>
      <c r="F744" s="156"/>
      <c r="I744" s="73"/>
      <c r="J744" s="73"/>
      <c r="K744" s="19"/>
      <c r="L744" s="31"/>
      <c r="M744" s="73"/>
      <c r="N744" s="27"/>
      <c r="O744" s="31"/>
      <c r="P744" s="19"/>
      <c r="Q744" s="122"/>
      <c r="S744" s="19"/>
      <c r="T744" s="19"/>
    </row>
    <row r="745" spans="1:40">
      <c r="A745" s="20">
        <v>399.3</v>
      </c>
      <c r="B745" s="15" t="s">
        <v>373</v>
      </c>
      <c r="C745" s="138">
        <v>43830</v>
      </c>
      <c r="D745" s="102"/>
      <c r="E745" s="139" t="s">
        <v>342</v>
      </c>
      <c r="F745" s="155">
        <v>-1</v>
      </c>
      <c r="G745" s="91">
        <f t="shared" ref="G745:G755" si="893">H745*F745/100</f>
        <v>-156931.9264</v>
      </c>
      <c r="H745" s="74">
        <v>15693192.640000001</v>
      </c>
      <c r="I745" s="74">
        <v>12301953</v>
      </c>
      <c r="J745" s="74">
        <f t="shared" ref="J745:J755" si="894">H745-G745-I745</f>
        <v>3548171.5664000008</v>
      </c>
      <c r="K745" s="13"/>
      <c r="L745" s="32"/>
      <c r="M745" s="74">
        <f t="shared" ref="M745:M755" si="895">J745/O745</f>
        <v>466864.67978947383</v>
      </c>
      <c r="N745" s="68">
        <f t="shared" ref="N745:N755" si="896">M745/H745</f>
        <v>2.974950288951999E-2</v>
      </c>
      <c r="O745" s="32">
        <v>7.6</v>
      </c>
      <c r="P745" s="13">
        <v>464224</v>
      </c>
      <c r="Q745" s="119">
        <f t="shared" ref="Q745:Q755" si="897">M745-P745</f>
        <v>2640.6797894738265</v>
      </c>
      <c r="S745" s="13">
        <v>576177</v>
      </c>
      <c r="T745" s="13">
        <f t="shared" ref="T745:T755" si="898">M745-S745</f>
        <v>-109312.32021052617</v>
      </c>
      <c r="W745" s="124">
        <v>0.42073509999999997</v>
      </c>
      <c r="Y745" s="79">
        <f>M745*W745</f>
        <v>196426.35773769225</v>
      </c>
      <c r="Z745" s="79">
        <f t="shared" ref="Z745:Z755" si="899">P745*W745</f>
        <v>195315.33106239999</v>
      </c>
      <c r="AA745" s="79">
        <f t="shared" ref="AA745:AA755" si="900">Q745*W745</f>
        <v>1111.0266752922494</v>
      </c>
      <c r="AB745" s="79">
        <f t="shared" ref="AB745:AB755" si="901">S745*W745</f>
        <v>242417.88771269997</v>
      </c>
      <c r="AC745" s="79">
        <f t="shared" ref="AC745:AC755" si="902">T745*W745</f>
        <v>-45991.529975007747</v>
      </c>
    </row>
    <row r="746" spans="1:40">
      <c r="A746" s="20">
        <v>399.31</v>
      </c>
      <c r="B746" s="16" t="s">
        <v>373</v>
      </c>
      <c r="C746" s="138">
        <v>52231</v>
      </c>
      <c r="D746" s="102"/>
      <c r="E746" s="139" t="s">
        <v>343</v>
      </c>
      <c r="F746" s="155">
        <v>-7</v>
      </c>
      <c r="G746" s="91">
        <f t="shared" si="893"/>
        <v>-1707667.7709000001</v>
      </c>
      <c r="H746" s="74">
        <v>24395253.870000001</v>
      </c>
      <c r="I746" s="74">
        <v>12289774</v>
      </c>
      <c r="J746" s="74">
        <f t="shared" si="894"/>
        <v>13813147.640900001</v>
      </c>
      <c r="K746" s="13"/>
      <c r="L746" s="32"/>
      <c r="M746" s="74">
        <f t="shared" si="895"/>
        <v>500476.36380072462</v>
      </c>
      <c r="N746" s="68">
        <f t="shared" si="896"/>
        <v>2.0515316891872321E-2</v>
      </c>
      <c r="O746" s="32">
        <v>27.6</v>
      </c>
      <c r="P746" s="13">
        <v>499652</v>
      </c>
      <c r="Q746" s="119">
        <f t="shared" si="897"/>
        <v>824.36380072461907</v>
      </c>
      <c r="S746" s="13">
        <v>500842</v>
      </c>
      <c r="T746" s="13">
        <f t="shared" si="898"/>
        <v>-365.63619927538093</v>
      </c>
      <c r="W746" s="124">
        <v>0.42073509999999997</v>
      </c>
      <c r="Y746" s="79">
        <f t="shared" ref="Y746:Y755" si="903">M746*W746</f>
        <v>210567.97297133424</v>
      </c>
      <c r="Z746" s="79">
        <f t="shared" si="899"/>
        <v>210221.13418519998</v>
      </c>
      <c r="AA746" s="79">
        <f t="shared" si="900"/>
        <v>346.83878613425264</v>
      </c>
      <c r="AB746" s="79">
        <f t="shared" si="901"/>
        <v>210721.80895419998</v>
      </c>
      <c r="AC746" s="79">
        <f t="shared" si="902"/>
        <v>-153.83598286574733</v>
      </c>
    </row>
    <row r="747" spans="1:40">
      <c r="A747" s="20">
        <v>399.41</v>
      </c>
      <c r="B747" s="16" t="s">
        <v>374</v>
      </c>
      <c r="C747" s="138">
        <v>52231</v>
      </c>
      <c r="D747" s="102"/>
      <c r="E747" s="139" t="s">
        <v>343</v>
      </c>
      <c r="F747" s="155">
        <v>-7</v>
      </c>
      <c r="G747" s="91">
        <f t="shared" si="893"/>
        <v>-570862.46629999997</v>
      </c>
      <c r="H747" s="74">
        <v>8155178.0899999999</v>
      </c>
      <c r="I747" s="74">
        <v>4079830</v>
      </c>
      <c r="J747" s="74">
        <f t="shared" si="894"/>
        <v>4646210.5562999994</v>
      </c>
      <c r="K747" s="13"/>
      <c r="L747" s="32"/>
      <c r="M747" s="74">
        <f t="shared" si="895"/>
        <v>167733.23307942235</v>
      </c>
      <c r="N747" s="68">
        <f t="shared" si="896"/>
        <v>2.0567697140188676E-2</v>
      </c>
      <c r="O747" s="32">
        <v>27.7</v>
      </c>
      <c r="P747" s="13">
        <v>167625</v>
      </c>
      <c r="Q747" s="119">
        <f t="shared" si="897"/>
        <v>108.2330794223526</v>
      </c>
      <c r="S747" s="13">
        <v>167945</v>
      </c>
      <c r="T747" s="13">
        <f t="shared" si="898"/>
        <v>-211.7669205776474</v>
      </c>
      <c r="W747" s="124">
        <v>0.42073509999999997</v>
      </c>
      <c r="Y747" s="79">
        <f t="shared" si="903"/>
        <v>70571.258592994069</v>
      </c>
      <c r="Z747" s="79">
        <f t="shared" si="899"/>
        <v>70525.72113749999</v>
      </c>
      <c r="AA747" s="79">
        <f t="shared" si="900"/>
        <v>45.537455494071459</v>
      </c>
      <c r="AB747" s="79">
        <f t="shared" si="901"/>
        <v>70660.35636949999</v>
      </c>
      <c r="AC747" s="79">
        <f t="shared" si="902"/>
        <v>-89.097776505928536</v>
      </c>
    </row>
    <row r="748" spans="1:40">
      <c r="A748" s="20">
        <v>399.44</v>
      </c>
      <c r="B748" s="16" t="s">
        <v>142</v>
      </c>
      <c r="C748" s="138">
        <v>43830</v>
      </c>
      <c r="D748" s="102"/>
      <c r="E748" s="139" t="s">
        <v>217</v>
      </c>
      <c r="F748" s="155">
        <v>0</v>
      </c>
      <c r="G748" s="91">
        <f t="shared" si="893"/>
        <v>0</v>
      </c>
      <c r="H748" s="74">
        <v>3424574.61</v>
      </c>
      <c r="I748" s="74">
        <v>1632830</v>
      </c>
      <c r="J748" s="74">
        <f t="shared" si="894"/>
        <v>1791744.6099999999</v>
      </c>
      <c r="K748" s="13"/>
      <c r="L748" s="32"/>
      <c r="M748" s="74">
        <f t="shared" si="895"/>
        <v>226803.11518987338</v>
      </c>
      <c r="N748" s="68">
        <f t="shared" si="896"/>
        <v>6.6228113275030503E-2</v>
      </c>
      <c r="O748" s="32">
        <v>7.9</v>
      </c>
      <c r="P748" s="13">
        <v>225661</v>
      </c>
      <c r="Q748" s="119">
        <f t="shared" si="897"/>
        <v>1142.1151898733806</v>
      </c>
      <c r="S748" s="13">
        <v>215230</v>
      </c>
      <c r="T748" s="13">
        <f t="shared" si="898"/>
        <v>11573.115189873381</v>
      </c>
      <c r="W748" s="124">
        <v>0.42073509999999997</v>
      </c>
      <c r="Y748" s="79">
        <f t="shared" si="903"/>
        <v>95424.031349722893</v>
      </c>
      <c r="Z748" s="79">
        <f t="shared" si="899"/>
        <v>94943.503401099995</v>
      </c>
      <c r="AA748" s="79">
        <f t="shared" si="900"/>
        <v>480.52794862289574</v>
      </c>
      <c r="AB748" s="79">
        <f t="shared" si="901"/>
        <v>90554.815573</v>
      </c>
      <c r="AC748" s="79">
        <f t="shared" si="902"/>
        <v>4869.2157767228955</v>
      </c>
    </row>
    <row r="749" spans="1:40">
      <c r="A749" s="20">
        <v>399.45</v>
      </c>
      <c r="B749" s="16" t="s">
        <v>3</v>
      </c>
      <c r="C749" s="138">
        <v>43830</v>
      </c>
      <c r="D749" s="102"/>
      <c r="E749" s="139" t="s">
        <v>344</v>
      </c>
      <c r="F749" s="155">
        <v>5</v>
      </c>
      <c r="G749" s="91">
        <f t="shared" si="893"/>
        <v>5139562.3370000003</v>
      </c>
      <c r="H749" s="74">
        <v>102791246.73999999</v>
      </c>
      <c r="I749" s="74">
        <v>53372675</v>
      </c>
      <c r="J749" s="74">
        <f t="shared" si="894"/>
        <v>44279009.402999997</v>
      </c>
      <c r="K749" s="13"/>
      <c r="L749" s="32"/>
      <c r="M749" s="74">
        <f t="shared" si="895"/>
        <v>7768247.2636842094</v>
      </c>
      <c r="N749" s="68">
        <f t="shared" si="896"/>
        <v>7.5573042550337005E-2</v>
      </c>
      <c r="O749" s="32">
        <v>5.7</v>
      </c>
      <c r="P749" s="13">
        <v>7748168</v>
      </c>
      <c r="Q749" s="119">
        <f t="shared" si="897"/>
        <v>20079.263684209436</v>
      </c>
      <c r="S749" s="13">
        <v>12935325</v>
      </c>
      <c r="T749" s="13">
        <f t="shared" si="898"/>
        <v>-5167077.7363157906</v>
      </c>
      <c r="W749" s="124">
        <v>0.42073509999999997</v>
      </c>
      <c r="Y749" s="79">
        <f t="shared" si="903"/>
        <v>3268374.2893109019</v>
      </c>
      <c r="Z749" s="79">
        <f t="shared" si="899"/>
        <v>3259926.2382967998</v>
      </c>
      <c r="AA749" s="79">
        <f t="shared" si="900"/>
        <v>8448.0510141022241</v>
      </c>
      <c r="AB749" s="79">
        <f t="shared" si="901"/>
        <v>5442345.2574074995</v>
      </c>
      <c r="AC749" s="79">
        <f t="shared" si="902"/>
        <v>-2173970.9680965976</v>
      </c>
    </row>
    <row r="750" spans="1:40">
      <c r="A750" s="20">
        <v>399.46</v>
      </c>
      <c r="B750" s="16" t="s">
        <v>288</v>
      </c>
      <c r="C750" s="138">
        <v>43830</v>
      </c>
      <c r="D750" s="102"/>
      <c r="E750" s="139" t="s">
        <v>345</v>
      </c>
      <c r="F750" s="155">
        <v>5</v>
      </c>
      <c r="G750" s="91">
        <f t="shared" si="893"/>
        <v>1617341.118</v>
      </c>
      <c r="H750" s="74">
        <v>32346822.359999999</v>
      </c>
      <c r="I750" s="74">
        <v>4725183</v>
      </c>
      <c r="J750" s="74">
        <f t="shared" si="894"/>
        <v>26004298.241999999</v>
      </c>
      <c r="K750" s="13"/>
      <c r="L750" s="32"/>
      <c r="M750" s="74">
        <f t="shared" si="895"/>
        <v>3467239.7656</v>
      </c>
      <c r="N750" s="68">
        <f t="shared" si="896"/>
        <v>0.10718950155325242</v>
      </c>
      <c r="O750" s="32">
        <v>7.5</v>
      </c>
      <c r="P750" s="13">
        <v>3470118</v>
      </c>
      <c r="Q750" s="119">
        <f t="shared" si="897"/>
        <v>-2878.2343999999575</v>
      </c>
      <c r="S750" s="13">
        <v>4210988</v>
      </c>
      <c r="T750" s="13">
        <f t="shared" si="898"/>
        <v>-743748.23439999996</v>
      </c>
      <c r="W750" s="124">
        <v>0.42073509999999997</v>
      </c>
      <c r="Y750" s="79">
        <f t="shared" si="903"/>
        <v>1458789.4695036926</v>
      </c>
      <c r="Z750" s="79">
        <f t="shared" si="899"/>
        <v>1460000.4437417998</v>
      </c>
      <c r="AA750" s="79">
        <f t="shared" si="900"/>
        <v>-1210.974238107422</v>
      </c>
      <c r="AB750" s="79">
        <f t="shared" si="901"/>
        <v>1771710.4572788</v>
      </c>
      <c r="AC750" s="79">
        <f t="shared" si="902"/>
        <v>-312920.98777510738</v>
      </c>
    </row>
    <row r="751" spans="1:40">
      <c r="A751" s="20">
        <v>399.51</v>
      </c>
      <c r="B751" s="16" t="s">
        <v>4</v>
      </c>
      <c r="C751" s="138">
        <v>43830</v>
      </c>
      <c r="D751" s="102"/>
      <c r="E751" s="139" t="s">
        <v>346</v>
      </c>
      <c r="F751" s="155">
        <v>5</v>
      </c>
      <c r="G751" s="91">
        <f t="shared" si="893"/>
        <v>59576.174000000006</v>
      </c>
      <c r="H751" s="74">
        <v>1191523.48</v>
      </c>
      <c r="I751" s="74">
        <v>723927</v>
      </c>
      <c r="J751" s="74">
        <f t="shared" si="894"/>
        <v>408020.30599999987</v>
      </c>
      <c r="K751" s="13"/>
      <c r="L751" s="32"/>
      <c r="M751" s="74">
        <f t="shared" si="895"/>
        <v>70348.32862068963</v>
      </c>
      <c r="N751" s="68">
        <f t="shared" si="896"/>
        <v>5.9040656606019738E-2</v>
      </c>
      <c r="O751" s="32">
        <v>5.8</v>
      </c>
      <c r="P751" s="13">
        <v>70560</v>
      </c>
      <c r="Q751" s="119">
        <f t="shared" si="897"/>
        <v>-211.67137931036996</v>
      </c>
      <c r="S751" s="13">
        <v>70688</v>
      </c>
      <c r="T751" s="13">
        <f t="shared" si="898"/>
        <v>-339.67137931036996</v>
      </c>
      <c r="W751" s="124">
        <v>0.42073509999999997</v>
      </c>
      <c r="Y751" s="79">
        <f t="shared" si="903"/>
        <v>29598.011077058713</v>
      </c>
      <c r="Z751" s="79">
        <f t="shared" si="899"/>
        <v>29687.068655999999</v>
      </c>
      <c r="AA751" s="79">
        <f t="shared" si="900"/>
        <v>-89.057578941286422</v>
      </c>
      <c r="AB751" s="79">
        <f t="shared" si="901"/>
        <v>29740.9227488</v>
      </c>
      <c r="AC751" s="79">
        <f t="shared" si="902"/>
        <v>-142.91167174128643</v>
      </c>
    </row>
    <row r="752" spans="1:40">
      <c r="A752" s="20">
        <v>399.52</v>
      </c>
      <c r="B752" s="16" t="s">
        <v>5</v>
      </c>
      <c r="C752" s="138">
        <v>43830</v>
      </c>
      <c r="D752" s="102"/>
      <c r="E752" s="139" t="s">
        <v>347</v>
      </c>
      <c r="F752" s="155">
        <v>5</v>
      </c>
      <c r="G752" s="91">
        <f t="shared" si="893"/>
        <v>299419.78599999996</v>
      </c>
      <c r="H752" s="74">
        <v>5988395.7199999997</v>
      </c>
      <c r="I752" s="74">
        <v>2907003</v>
      </c>
      <c r="J752" s="74">
        <f t="shared" si="894"/>
        <v>2781972.9339999994</v>
      </c>
      <c r="K752" s="13"/>
      <c r="L752" s="32"/>
      <c r="M752" s="74">
        <f t="shared" si="895"/>
        <v>370929.72453333327</v>
      </c>
      <c r="N752" s="68">
        <f t="shared" si="896"/>
        <v>6.1941418349242508E-2</v>
      </c>
      <c r="O752" s="32">
        <v>7.5</v>
      </c>
      <c r="P752" s="13">
        <v>369171</v>
      </c>
      <c r="Q752" s="119">
        <f t="shared" si="897"/>
        <v>1758.7245333332685</v>
      </c>
      <c r="S752" s="13">
        <v>441252</v>
      </c>
      <c r="T752" s="13">
        <f t="shared" si="898"/>
        <v>-70322.275466666732</v>
      </c>
      <c r="W752" s="124">
        <v>0.42073509999999997</v>
      </c>
      <c r="Y752" s="79">
        <f t="shared" si="903"/>
        <v>156063.15474450443</v>
      </c>
      <c r="Z752" s="79">
        <f t="shared" si="899"/>
        <v>155323.1976021</v>
      </c>
      <c r="AA752" s="79">
        <f t="shared" si="900"/>
        <v>739.95714240442601</v>
      </c>
      <c r="AB752" s="79">
        <f t="shared" si="901"/>
        <v>185650.20434519998</v>
      </c>
      <c r="AC752" s="79">
        <f t="shared" si="902"/>
        <v>-29587.049600695573</v>
      </c>
    </row>
    <row r="753" spans="1:29">
      <c r="A753" s="20">
        <v>399.6</v>
      </c>
      <c r="B753" s="16" t="s">
        <v>6</v>
      </c>
      <c r="C753" s="138">
        <v>43830</v>
      </c>
      <c r="D753" s="102"/>
      <c r="E753" s="139" t="s">
        <v>235</v>
      </c>
      <c r="F753" s="155">
        <v>1</v>
      </c>
      <c r="G753" s="91">
        <f t="shared" si="893"/>
        <v>23313.790199999999</v>
      </c>
      <c r="H753" s="74">
        <v>2331379.02</v>
      </c>
      <c r="I753" s="74">
        <v>1306694</v>
      </c>
      <c r="J753" s="74">
        <f t="shared" si="894"/>
        <v>1001371.2297999999</v>
      </c>
      <c r="K753" s="13"/>
      <c r="L753" s="32"/>
      <c r="M753" s="74">
        <f t="shared" si="895"/>
        <v>169723.93725423724</v>
      </c>
      <c r="N753" s="68">
        <f t="shared" si="896"/>
        <v>7.2799804664209961E-2</v>
      </c>
      <c r="O753" s="32">
        <v>5.9</v>
      </c>
      <c r="P753" s="13">
        <v>170359</v>
      </c>
      <c r="Q753" s="119">
        <f t="shared" si="897"/>
        <v>-635.06274576275609</v>
      </c>
      <c r="S753" s="13">
        <v>177291</v>
      </c>
      <c r="T753" s="13">
        <f t="shared" si="898"/>
        <v>-7567.0627457627561</v>
      </c>
      <c r="W753" s="124">
        <v>0.42073509999999997</v>
      </c>
      <c r="Y753" s="79">
        <f t="shared" si="903"/>
        <v>71408.817713055221</v>
      </c>
      <c r="Z753" s="79">
        <f t="shared" si="899"/>
        <v>71676.010900900001</v>
      </c>
      <c r="AA753" s="79">
        <f t="shared" si="900"/>
        <v>-267.19318784476775</v>
      </c>
      <c r="AB753" s="79">
        <f t="shared" si="901"/>
        <v>74592.546614099992</v>
      </c>
      <c r="AC753" s="79">
        <f t="shared" si="902"/>
        <v>-3183.7289010447676</v>
      </c>
    </row>
    <row r="754" spans="1:29">
      <c r="A754" s="20">
        <v>399.61</v>
      </c>
      <c r="B754" s="16" t="s">
        <v>7</v>
      </c>
      <c r="C754" s="138">
        <v>43830</v>
      </c>
      <c r="D754" s="102"/>
      <c r="E754" s="139" t="s">
        <v>348</v>
      </c>
      <c r="F754" s="155">
        <v>0</v>
      </c>
      <c r="G754" s="91">
        <f t="shared" si="893"/>
        <v>0</v>
      </c>
      <c r="H754" s="74">
        <v>392405.87</v>
      </c>
      <c r="I754" s="74">
        <v>323306</v>
      </c>
      <c r="J754" s="74">
        <f t="shared" si="894"/>
        <v>69099.87</v>
      </c>
      <c r="K754" s="13"/>
      <c r="L754" s="32"/>
      <c r="M754" s="74">
        <f t="shared" si="895"/>
        <v>15021.710869565217</v>
      </c>
      <c r="N754" s="68">
        <f t="shared" si="896"/>
        <v>3.8281055453031877E-2</v>
      </c>
      <c r="O754" s="32">
        <v>4.5999999999999996</v>
      </c>
      <c r="P754" s="13">
        <v>15064</v>
      </c>
      <c r="Q754" s="119">
        <f t="shared" si="897"/>
        <v>-42.289130434783146</v>
      </c>
      <c r="S754" s="13">
        <v>20395</v>
      </c>
      <c r="T754" s="13">
        <f t="shared" si="898"/>
        <v>-5373.2891304347831</v>
      </c>
      <c r="W754" s="124">
        <v>0.42073509999999997</v>
      </c>
      <c r="Y754" s="79">
        <f t="shared" si="903"/>
        <v>6320.1610248776078</v>
      </c>
      <c r="Z754" s="79">
        <f t="shared" si="899"/>
        <v>6337.9535463999991</v>
      </c>
      <c r="AA754" s="79">
        <f t="shared" si="900"/>
        <v>-17.792521522391528</v>
      </c>
      <c r="AB754" s="79">
        <f t="shared" si="901"/>
        <v>8580.8923644999995</v>
      </c>
      <c r="AC754" s="79">
        <f t="shared" si="902"/>
        <v>-2260.7313396223913</v>
      </c>
    </row>
    <row r="755" spans="1:29">
      <c r="A755" s="20">
        <v>399.7</v>
      </c>
      <c r="B755" s="16" t="s">
        <v>8</v>
      </c>
      <c r="C755" s="138">
        <v>43830</v>
      </c>
      <c r="E755" s="139" t="s">
        <v>249</v>
      </c>
      <c r="F755" s="155">
        <v>0</v>
      </c>
      <c r="G755" s="91">
        <f t="shared" si="893"/>
        <v>0</v>
      </c>
      <c r="H755" s="74">
        <v>38414876.890000001</v>
      </c>
      <c r="I755" s="74">
        <v>26695536</v>
      </c>
      <c r="J755" s="74">
        <f t="shared" si="894"/>
        <v>11719340.890000001</v>
      </c>
      <c r="K755" s="13"/>
      <c r="L755" s="32"/>
      <c r="M755" s="74">
        <f t="shared" si="895"/>
        <v>1464917.6112500001</v>
      </c>
      <c r="N755" s="68">
        <f t="shared" si="896"/>
        <v>3.8134122242399829E-2</v>
      </c>
      <c r="O755" s="32">
        <v>8</v>
      </c>
      <c r="P755" s="13">
        <v>1464917</v>
      </c>
      <c r="Q755" s="119">
        <f t="shared" si="897"/>
        <v>0.61125000007450581</v>
      </c>
      <c r="S755" s="13">
        <v>1628179</v>
      </c>
      <c r="T755" s="13">
        <f t="shared" si="898"/>
        <v>-163261.38874999993</v>
      </c>
      <c r="W755" s="124">
        <v>0.42073509999999997</v>
      </c>
      <c r="Y755" s="79">
        <f t="shared" si="903"/>
        <v>616342.25766102981</v>
      </c>
      <c r="Z755" s="79">
        <f t="shared" si="899"/>
        <v>616342.00048669998</v>
      </c>
      <c r="AA755" s="79">
        <f t="shared" si="900"/>
        <v>0.2571743299063472</v>
      </c>
      <c r="AB755" s="79">
        <f t="shared" si="901"/>
        <v>685032.05438290001</v>
      </c>
      <c r="AC755" s="79">
        <f t="shared" si="902"/>
        <v>-68689.796721870094</v>
      </c>
    </row>
    <row r="756" spans="1:29">
      <c r="A756" s="57"/>
      <c r="B756" s="48" t="s">
        <v>136</v>
      </c>
      <c r="C756" s="23"/>
      <c r="F756" s="154"/>
      <c r="G756" s="72"/>
      <c r="H756" s="85">
        <f>+SUBTOTAL(9,H745:H755)</f>
        <v>235124849.29000002</v>
      </c>
      <c r="I756" s="85">
        <f>+SUBTOTAL(9,I745:I755)</f>
        <v>120358711</v>
      </c>
      <c r="J756" s="85">
        <f>+SUBTOTAL(9,J745:J755)</f>
        <v>110062387.2484</v>
      </c>
      <c r="K756" s="51"/>
      <c r="L756" s="31"/>
      <c r="M756" s="85">
        <f>+SUBTOTAL(9,M745:M755)</f>
        <v>14688305.733671527</v>
      </c>
      <c r="N756" s="52">
        <f>+ROUND(M756/H756*100,2)</f>
        <v>6.25</v>
      </c>
      <c r="O756" s="31"/>
      <c r="P756" s="107">
        <f>+SUBTOTAL(9,P745:P755)</f>
        <v>14665519</v>
      </c>
      <c r="Q756" s="111">
        <f>+SUBTOTAL(9,Q745:Q755)</f>
        <v>22786.733671529091</v>
      </c>
      <c r="S756" s="107">
        <f>+SUBTOTAL(9,S745:S755)</f>
        <v>20944312</v>
      </c>
      <c r="T756" s="107">
        <f>+SUBTOTAL(9,T745:T755)</f>
        <v>-6256006.2663284708</v>
      </c>
      <c r="Y756" s="85">
        <f t="shared" ref="Y756:AC756" si="904">+SUBTOTAL(9,Y745:Y755)</f>
        <v>6179885.7816868629</v>
      </c>
      <c r="Z756" s="85">
        <f t="shared" ref="Z756" si="905">+SUBTOTAL(9,Z745:Z755)</f>
        <v>6170298.603016899</v>
      </c>
      <c r="AA756" s="85">
        <f t="shared" si="904"/>
        <v>9587.178669964158</v>
      </c>
      <c r="AB756" s="85">
        <f t="shared" si="904"/>
        <v>8812007.2037512008</v>
      </c>
      <c r="AC756" s="85">
        <f t="shared" si="904"/>
        <v>-2632121.422064336</v>
      </c>
    </row>
    <row r="757" spans="1:29">
      <c r="B757" s="17"/>
      <c r="C757" s="23"/>
      <c r="F757" s="154"/>
      <c r="G757" s="72"/>
      <c r="H757" s="83"/>
      <c r="I757" s="83"/>
      <c r="J757" s="83"/>
      <c r="K757" s="51"/>
      <c r="L757" s="51"/>
      <c r="M757" s="83"/>
      <c r="N757" s="52"/>
      <c r="O757" s="31"/>
      <c r="P757" s="106"/>
      <c r="Q757" s="109"/>
      <c r="S757" s="106"/>
      <c r="T757" s="106"/>
      <c r="Y757" s="83"/>
      <c r="Z757" s="83"/>
      <c r="AA757" s="83"/>
      <c r="AB757" s="83"/>
      <c r="AC757" s="83"/>
    </row>
    <row r="758" spans="1:29" ht="13.5" thickBot="1">
      <c r="A758" s="57"/>
      <c r="B758" s="47" t="s">
        <v>135</v>
      </c>
      <c r="C758" s="56"/>
      <c r="F758" s="154"/>
      <c r="G758" s="72"/>
      <c r="H758" s="151">
        <f>+SUBTOTAL(9,H15:H756)</f>
        <v>21091685846.220009</v>
      </c>
      <c r="I758" s="151">
        <f>+SUBTOTAL(9,I15:I756)</f>
        <v>6809406011</v>
      </c>
      <c r="J758" s="151">
        <f>+SUBTOTAL(9,J15:J756)</f>
        <v>17334937969.681</v>
      </c>
      <c r="K758" s="51"/>
      <c r="L758" s="51"/>
      <c r="M758" s="77">
        <f>+SUBTOTAL(9,M15:M756)</f>
        <v>571651310.16802728</v>
      </c>
      <c r="N758" s="52">
        <f>+ROUND(M758/H758*100,2)</f>
        <v>2.71</v>
      </c>
      <c r="O758" s="31"/>
      <c r="P758" s="77">
        <f>+SUBTOTAL(9,P15:P756)</f>
        <v>621595031</v>
      </c>
      <c r="Q758" s="77">
        <f>+SUBTOTAL(9,Q15:Q756)</f>
        <v>-49943720.831972353</v>
      </c>
      <c r="S758" s="77">
        <f>+SUBTOTAL(9,S15:S756)</f>
        <v>743256789</v>
      </c>
      <c r="T758" s="77">
        <f>+SUBTOTAL(9,T15:T756)</f>
        <v>-171605478.83197227</v>
      </c>
      <c r="Y758" s="151">
        <f t="shared" ref="Y758:AC758" si="906">+SUBTOTAL(9,Y15:Y756)</f>
        <v>237451803.62901416</v>
      </c>
      <c r="Z758" s="151">
        <f t="shared" ref="Z758" si="907">+SUBTOTAL(9,Z15:Z756)</f>
        <v>260701494.6331459</v>
      </c>
      <c r="AA758" s="151">
        <f t="shared" si="906"/>
        <v>-22082666.750946835</v>
      </c>
      <c r="AB758" s="151">
        <f t="shared" si="906"/>
        <v>310978410.39481568</v>
      </c>
      <c r="AC758" s="151">
        <f t="shared" si="906"/>
        <v>-73526606.765801594</v>
      </c>
    </row>
    <row r="759" spans="1:29" ht="13.5" thickTop="1">
      <c r="C759" s="17"/>
      <c r="F759" s="156"/>
      <c r="I759" s="73"/>
      <c r="J759" s="73"/>
      <c r="K759" s="19"/>
      <c r="L759" s="19"/>
      <c r="M759" s="73"/>
      <c r="N759" s="27"/>
      <c r="O759" s="31"/>
      <c r="P759" s="19"/>
      <c r="Q759" s="29"/>
      <c r="S759" s="19"/>
      <c r="T759" s="19"/>
      <c r="Y759" s="73"/>
      <c r="Z759" s="73"/>
      <c r="AA759" s="73"/>
      <c r="AB759" s="73"/>
      <c r="AC759" s="73"/>
    </row>
    <row r="760" spans="1:29">
      <c r="A760" s="63"/>
      <c r="B760" s="64"/>
      <c r="C760" s="17"/>
      <c r="F760" s="156"/>
      <c r="I760" s="73"/>
      <c r="J760" s="73"/>
      <c r="K760" s="19"/>
      <c r="L760" s="19"/>
      <c r="M760" s="73">
        <v>621595031</v>
      </c>
      <c r="N760" s="27"/>
      <c r="O760" s="31"/>
      <c r="P760" s="19"/>
      <c r="Q760" s="29"/>
      <c r="S760" s="19"/>
      <c r="T760" s="19"/>
      <c r="Y760" s="73"/>
      <c r="Z760" s="73"/>
      <c r="AA760" s="73"/>
      <c r="AB760" s="73"/>
      <c r="AC760" s="73"/>
    </row>
    <row r="761" spans="1:29">
      <c r="A761" s="30" t="s">
        <v>262</v>
      </c>
      <c r="B761" s="16" t="s">
        <v>263</v>
      </c>
      <c r="C761" s="17"/>
      <c r="F761" s="156"/>
      <c r="I761" s="73"/>
      <c r="J761" s="73"/>
      <c r="K761" s="19"/>
      <c r="L761" s="19"/>
      <c r="M761" s="73"/>
      <c r="N761" s="27"/>
      <c r="O761" s="31"/>
      <c r="P761" s="17"/>
      <c r="Q761" s="29"/>
      <c r="S761" s="35"/>
      <c r="T761" s="35"/>
      <c r="Y761" s="73"/>
      <c r="Z761" s="73"/>
      <c r="AA761" s="73"/>
      <c r="AB761" s="73"/>
      <c r="AC761" s="73"/>
    </row>
    <row r="762" spans="1:29">
      <c r="F762" s="156"/>
      <c r="I762" s="73"/>
      <c r="J762" s="73"/>
      <c r="K762" s="73"/>
      <c r="M762" s="73">
        <f>M758-M760</f>
        <v>-49943720.831972718</v>
      </c>
      <c r="N762" s="27"/>
      <c r="O762" s="31"/>
      <c r="P762" s="17"/>
      <c r="Q762" s="29"/>
      <c r="S762" s="65"/>
      <c r="T762" s="65"/>
    </row>
    <row r="763" spans="1:29">
      <c r="F763" s="156"/>
      <c r="N763" s="27"/>
      <c r="O763" s="31"/>
      <c r="P763" s="17"/>
      <c r="Q763" s="29"/>
      <c r="S763" s="65"/>
      <c r="T763" s="65"/>
    </row>
    <row r="764" spans="1:29">
      <c r="F764" s="156"/>
      <c r="N764" s="27"/>
      <c r="O764" s="31"/>
      <c r="P764" s="17"/>
      <c r="Q764" s="135"/>
      <c r="S764" s="65"/>
      <c r="T764" s="65"/>
    </row>
    <row r="765" spans="1:29">
      <c r="F765" s="156"/>
      <c r="N765" s="27"/>
      <c r="O765" s="31"/>
      <c r="P765" s="17"/>
      <c r="S765" s="65"/>
      <c r="T765" s="65"/>
    </row>
    <row r="766" spans="1:29">
      <c r="F766" s="156"/>
      <c r="N766" s="27"/>
      <c r="O766" s="31"/>
      <c r="P766" s="17"/>
      <c r="S766" s="65"/>
      <c r="T766" s="65"/>
    </row>
    <row r="767" spans="1:29">
      <c r="F767" s="156"/>
      <c r="N767" s="27"/>
      <c r="O767" s="31"/>
      <c r="P767" s="17"/>
      <c r="S767" s="65"/>
      <c r="T767" s="65"/>
    </row>
    <row r="768" spans="1:29">
      <c r="F768" s="156"/>
      <c r="N768" s="27"/>
      <c r="O768" s="31"/>
      <c r="P768" s="17"/>
      <c r="S768" s="65"/>
      <c r="T768" s="65"/>
    </row>
    <row r="769" spans="6:27">
      <c r="F769" s="156"/>
      <c r="N769" s="27"/>
      <c r="O769" s="31"/>
      <c r="P769" s="79"/>
      <c r="S769" s="79"/>
      <c r="T769" s="65"/>
    </row>
    <row r="770" spans="6:27">
      <c r="F770" s="156"/>
      <c r="N770" s="27"/>
      <c r="O770" s="31"/>
      <c r="P770" s="79"/>
      <c r="S770" s="79"/>
      <c r="T770" s="65"/>
      <c r="W770" s="80"/>
    </row>
    <row r="771" spans="6:27">
      <c r="F771" s="156"/>
      <c r="N771" s="27"/>
      <c r="O771" s="31"/>
      <c r="P771" s="17"/>
      <c r="S771" s="65"/>
      <c r="T771" s="65"/>
    </row>
    <row r="772" spans="6:27">
      <c r="F772" s="156"/>
      <c r="N772" s="27"/>
      <c r="O772" s="31"/>
      <c r="P772" s="17"/>
      <c r="AA772" s="134"/>
    </row>
    <row r="773" spans="6:27">
      <c r="F773" s="156"/>
      <c r="N773" s="27"/>
      <c r="O773" s="31"/>
      <c r="P773" s="17"/>
      <c r="AA773" s="134"/>
    </row>
    <row r="774" spans="6:27">
      <c r="F774" s="156"/>
      <c r="N774" s="27"/>
      <c r="O774" s="31"/>
      <c r="P774" s="17"/>
      <c r="AA774" s="134"/>
    </row>
    <row r="775" spans="6:27">
      <c r="F775" s="156"/>
      <c r="N775" s="27"/>
      <c r="O775" s="31"/>
      <c r="P775" s="17"/>
      <c r="Q775" s="136"/>
      <c r="AA775" s="134"/>
    </row>
    <row r="776" spans="6:27">
      <c r="F776" s="156"/>
      <c r="N776" s="27"/>
      <c r="O776" s="31"/>
      <c r="P776" s="17"/>
      <c r="AA776" s="134"/>
    </row>
    <row r="777" spans="6:27">
      <c r="F777" s="156"/>
      <c r="N777" s="27"/>
      <c r="O777" s="31"/>
      <c r="P777" s="17"/>
      <c r="AA777" s="134"/>
    </row>
    <row r="778" spans="6:27">
      <c r="F778" s="156"/>
      <c r="N778" s="27"/>
      <c r="O778" s="31"/>
      <c r="P778" s="17"/>
    </row>
    <row r="779" spans="6:27">
      <c r="F779" s="156"/>
      <c r="N779" s="27"/>
      <c r="O779" s="31"/>
      <c r="P779" s="17"/>
    </row>
    <row r="780" spans="6:27">
      <c r="F780" s="156"/>
      <c r="N780" s="27"/>
      <c r="O780" s="31"/>
      <c r="P780" s="17"/>
    </row>
    <row r="781" spans="6:27">
      <c r="F781" s="156"/>
      <c r="N781" s="27"/>
      <c r="O781" s="31"/>
      <c r="P781" s="17"/>
    </row>
    <row r="782" spans="6:27">
      <c r="F782" s="156"/>
      <c r="N782" s="27"/>
      <c r="O782" s="31"/>
      <c r="P782" s="17"/>
    </row>
    <row r="783" spans="6:27">
      <c r="N783" s="27"/>
      <c r="O783" s="31"/>
      <c r="P783" s="17"/>
    </row>
    <row r="784" spans="6:27">
      <c r="N784" s="27"/>
      <c r="O784" s="31"/>
      <c r="P784" s="17"/>
    </row>
    <row r="785" spans="14:16">
      <c r="N785" s="27"/>
      <c r="O785" s="31"/>
      <c r="P785" s="17"/>
    </row>
    <row r="786" spans="14:16">
      <c r="N786" s="27"/>
      <c r="O786" s="31"/>
      <c r="P786" s="17"/>
    </row>
    <row r="787" spans="14:16">
      <c r="N787" s="27"/>
      <c r="O787" s="31"/>
      <c r="P787" s="17"/>
    </row>
    <row r="788" spans="14:16">
      <c r="N788" s="27"/>
      <c r="O788" s="31"/>
      <c r="P788" s="17"/>
    </row>
    <row r="789" spans="14:16">
      <c r="N789" s="27"/>
      <c r="O789" s="31"/>
      <c r="P789" s="17"/>
    </row>
    <row r="790" spans="14:16">
      <c r="N790" s="27"/>
      <c r="O790" s="31"/>
      <c r="P790" s="17"/>
    </row>
    <row r="791" spans="14:16">
      <c r="N791" s="27"/>
      <c r="O791" s="31"/>
      <c r="P791" s="17"/>
    </row>
    <row r="792" spans="14:16">
      <c r="N792" s="27"/>
      <c r="O792" s="31"/>
      <c r="P792" s="17"/>
    </row>
    <row r="793" spans="14:16">
      <c r="N793" s="27"/>
      <c r="O793" s="31"/>
      <c r="P793" s="17"/>
    </row>
    <row r="794" spans="14:16">
      <c r="N794" s="27"/>
      <c r="O794" s="31"/>
      <c r="P794" s="17"/>
    </row>
    <row r="795" spans="14:16">
      <c r="N795" s="27"/>
      <c r="O795" s="31"/>
      <c r="P795" s="17"/>
    </row>
    <row r="796" spans="14:16">
      <c r="N796" s="27"/>
      <c r="O796" s="31"/>
      <c r="P796" s="17"/>
    </row>
    <row r="797" spans="14:16">
      <c r="N797" s="27"/>
      <c r="O797" s="31"/>
      <c r="P797" s="17"/>
    </row>
    <row r="798" spans="14:16">
      <c r="N798" s="27"/>
      <c r="O798" s="31"/>
      <c r="P798" s="17"/>
    </row>
    <row r="799" spans="14:16">
      <c r="N799" s="27"/>
      <c r="O799" s="31"/>
      <c r="P799" s="17"/>
    </row>
    <row r="800" spans="14:16">
      <c r="N800" s="27"/>
      <c r="O800" s="31"/>
      <c r="P800" s="17"/>
    </row>
    <row r="801" spans="14:16">
      <c r="N801" s="27"/>
      <c r="O801" s="31"/>
      <c r="P801" s="17"/>
    </row>
    <row r="802" spans="14:16">
      <c r="N802" s="27"/>
      <c r="O802" s="31"/>
      <c r="P802" s="17"/>
    </row>
    <row r="803" spans="14:16">
      <c r="N803" s="27"/>
      <c r="O803" s="31"/>
      <c r="P803" s="17"/>
    </row>
    <row r="804" spans="14:16">
      <c r="N804" s="27"/>
      <c r="O804" s="31"/>
      <c r="P804" s="17"/>
    </row>
    <row r="805" spans="14:16">
      <c r="N805" s="27"/>
      <c r="O805" s="31"/>
      <c r="P805" s="17"/>
    </row>
    <row r="806" spans="14:16">
      <c r="N806" s="27"/>
      <c r="O806" s="31"/>
      <c r="P806" s="17"/>
    </row>
    <row r="807" spans="14:16">
      <c r="N807" s="27"/>
      <c r="O807" s="31"/>
    </row>
    <row r="808" spans="14:16">
      <c r="N808" s="27"/>
      <c r="O808" s="31"/>
    </row>
    <row r="809" spans="14:16">
      <c r="N809" s="27"/>
      <c r="O809" s="31"/>
    </row>
    <row r="810" spans="14:16">
      <c r="N810" s="27"/>
      <c r="O810" s="31"/>
    </row>
    <row r="811" spans="14:16">
      <c r="N811" s="27"/>
      <c r="O811" s="31"/>
    </row>
    <row r="812" spans="14:16">
      <c r="N812" s="27"/>
      <c r="O812" s="31"/>
    </row>
    <row r="813" spans="14:16">
      <c r="N813" s="27"/>
      <c r="O813" s="31"/>
    </row>
    <row r="814" spans="14:16">
      <c r="N814" s="27"/>
      <c r="O814" s="31"/>
    </row>
    <row r="815" spans="14:16">
      <c r="N815" s="27"/>
      <c r="O815" s="31"/>
    </row>
    <row r="816" spans="14:16">
      <c r="N816" s="27"/>
      <c r="O816" s="31"/>
    </row>
    <row r="817" spans="14:15">
      <c r="N817" s="27"/>
      <c r="O817" s="31"/>
    </row>
    <row r="818" spans="14:15">
      <c r="N818" s="27"/>
      <c r="O818" s="31"/>
    </row>
    <row r="819" spans="14:15">
      <c r="N819" s="27"/>
      <c r="O819" s="31"/>
    </row>
    <row r="820" spans="14:15">
      <c r="N820" s="27"/>
      <c r="O820" s="31"/>
    </row>
    <row r="821" spans="14:15">
      <c r="N821" s="27"/>
      <c r="O821" s="31"/>
    </row>
    <row r="822" spans="14:15">
      <c r="N822" s="27"/>
      <c r="O822" s="31"/>
    </row>
    <row r="823" spans="14:15">
      <c r="N823" s="27"/>
      <c r="O823" s="31"/>
    </row>
    <row r="824" spans="14:15">
      <c r="N824" s="27"/>
      <c r="O824" s="31"/>
    </row>
    <row r="825" spans="14:15">
      <c r="N825" s="27"/>
      <c r="O825" s="31"/>
    </row>
    <row r="826" spans="14:15">
      <c r="N826" s="27"/>
      <c r="O826" s="31"/>
    </row>
    <row r="827" spans="14:15">
      <c r="N827" s="27"/>
      <c r="O827" s="31"/>
    </row>
    <row r="828" spans="14:15">
      <c r="N828" s="27"/>
      <c r="O828" s="31"/>
    </row>
    <row r="829" spans="14:15">
      <c r="N829" s="27"/>
      <c r="O829" s="31"/>
    </row>
    <row r="830" spans="14:15">
      <c r="N830" s="27"/>
      <c r="O830" s="31"/>
    </row>
    <row r="831" spans="14:15">
      <c r="N831" s="27"/>
      <c r="O831" s="31"/>
    </row>
    <row r="832" spans="14:15">
      <c r="N832" s="27"/>
      <c r="O832" s="31"/>
    </row>
    <row r="833" spans="14:15">
      <c r="N833" s="27"/>
      <c r="O833" s="31"/>
    </row>
    <row r="834" spans="14:15">
      <c r="N834" s="27"/>
      <c r="O834" s="31"/>
    </row>
    <row r="835" spans="14:15">
      <c r="N835" s="27"/>
      <c r="O835" s="31"/>
    </row>
    <row r="836" spans="14:15">
      <c r="N836" s="27"/>
      <c r="O836" s="31"/>
    </row>
    <row r="837" spans="14:15">
      <c r="N837" s="27"/>
      <c r="O837" s="31"/>
    </row>
    <row r="838" spans="14:15">
      <c r="N838" s="27"/>
      <c r="O838" s="31"/>
    </row>
    <row r="839" spans="14:15">
      <c r="N839" s="27"/>
      <c r="O839" s="31"/>
    </row>
    <row r="840" spans="14:15">
      <c r="N840" s="27"/>
      <c r="O840" s="31"/>
    </row>
    <row r="841" spans="14:15">
      <c r="N841" s="27"/>
      <c r="O841" s="31"/>
    </row>
    <row r="842" spans="14:15">
      <c r="N842" s="27"/>
      <c r="O842" s="31"/>
    </row>
    <row r="843" spans="14:15">
      <c r="N843" s="27"/>
      <c r="O843" s="31"/>
    </row>
    <row r="844" spans="14:15">
      <c r="N844" s="27"/>
      <c r="O844" s="31"/>
    </row>
    <row r="845" spans="14:15">
      <c r="N845" s="27"/>
      <c r="O845" s="31"/>
    </row>
    <row r="846" spans="14:15">
      <c r="N846" s="27"/>
      <c r="O846" s="31"/>
    </row>
    <row r="847" spans="14:15">
      <c r="N847" s="27"/>
      <c r="O847" s="31"/>
    </row>
    <row r="848" spans="14:15">
      <c r="N848" s="27"/>
      <c r="O848" s="31"/>
    </row>
    <row r="849" spans="14:15">
      <c r="N849" s="27"/>
      <c r="O849" s="31"/>
    </row>
    <row r="850" spans="14:15">
      <c r="N850" s="27"/>
      <c r="O850" s="31"/>
    </row>
    <row r="851" spans="14:15">
      <c r="N851" s="27"/>
      <c r="O851" s="31"/>
    </row>
    <row r="852" spans="14:15">
      <c r="N852" s="27"/>
      <c r="O852" s="31"/>
    </row>
    <row r="853" spans="14:15">
      <c r="N853" s="27"/>
      <c r="O853" s="31"/>
    </row>
    <row r="854" spans="14:15">
      <c r="N854" s="27"/>
      <c r="O854" s="31"/>
    </row>
    <row r="855" spans="14:15">
      <c r="N855" s="27"/>
      <c r="O855" s="31"/>
    </row>
    <row r="856" spans="14:15">
      <c r="N856" s="27"/>
      <c r="O856" s="31"/>
    </row>
    <row r="857" spans="14:15">
      <c r="N857" s="27"/>
      <c r="O857" s="31"/>
    </row>
    <row r="858" spans="14:15">
      <c r="N858" s="27"/>
      <c r="O858" s="31"/>
    </row>
    <row r="859" spans="14:15">
      <c r="N859" s="27"/>
      <c r="O859" s="31"/>
    </row>
    <row r="860" spans="14:15">
      <c r="N860" s="27"/>
      <c r="O860" s="31"/>
    </row>
  </sheetData>
  <mergeCells count="31">
    <mergeCell ref="P8:Q8"/>
    <mergeCell ref="E141:F141"/>
    <mergeCell ref="E136:F136"/>
    <mergeCell ref="E137:F137"/>
    <mergeCell ref="E138:F138"/>
    <mergeCell ref="E139:F139"/>
    <mergeCell ref="E140:F140"/>
    <mergeCell ref="E221:F221"/>
    <mergeCell ref="E142:F142"/>
    <mergeCell ref="E143:F143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220:F220"/>
    <mergeCell ref="E460:F460"/>
    <mergeCell ref="E222:F222"/>
    <mergeCell ref="E223:F223"/>
    <mergeCell ref="E224:F224"/>
    <mergeCell ref="E457:F457"/>
    <mergeCell ref="E458:F458"/>
    <mergeCell ref="E459:F459"/>
    <mergeCell ref="Y7:AC7"/>
    <mergeCell ref="A1:AC1"/>
    <mergeCell ref="A3:AC3"/>
    <mergeCell ref="A4:AC4"/>
    <mergeCell ref="A5:AC5"/>
  </mergeCells>
  <phoneticPr fontId="0" type="noConversion"/>
  <printOptions horizontalCentered="1"/>
  <pageMargins left="0.3" right="0.3" top="0.67" bottom="0.6" header="0.27" footer="0.22"/>
  <pageSetup scale="60" fitToHeight="0" orientation="landscape" r:id="rId1"/>
  <headerFooter alignWithMargins="0">
    <oddHeader>&amp;ROffice of Consumer Services
Docket No. 13-035-02
Exhibit OCS 2.1 (Direct)
Page &amp;P of 16</oddHeader>
  </headerFooter>
  <rowBreaks count="15" manualBreakCount="15">
    <brk id="56" max="28" man="1"/>
    <brk id="105" max="28" man="1"/>
    <brk id="148" max="28" man="1"/>
    <brk id="198" max="28" man="1"/>
    <brk id="245" max="28" man="1"/>
    <brk id="295" max="28" man="1"/>
    <brk id="341" max="28" man="1"/>
    <brk id="385" max="28" man="1"/>
    <brk id="429" max="28" man="1"/>
    <brk id="477" max="28" man="1"/>
    <brk id="525" max="28" man="1"/>
    <brk id="580" max="28" man="1"/>
    <brk id="631" max="28" man="1"/>
    <brk id="682" max="28" man="1"/>
    <brk id="73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2011Summary</vt:lpstr>
      <vt:lpstr>Sheet1</vt:lpstr>
      <vt:lpstr>'2011Summary'!Print_Area</vt:lpstr>
      <vt:lpstr>'2011Summary'!Print_Titles</vt:lpstr>
    </vt:vector>
  </TitlesOfParts>
  <Company>Depreciation Specialty Resources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S. Roff</dc:creator>
  <cp:lastModifiedBy> </cp:lastModifiedBy>
  <cp:lastPrinted>2013-06-20T21:37:32Z</cp:lastPrinted>
  <dcterms:created xsi:type="dcterms:W3CDTF">2006-06-05T13:30:03Z</dcterms:created>
  <dcterms:modified xsi:type="dcterms:W3CDTF">2013-06-24T21:15:05Z</dcterms:modified>
</cp:coreProperties>
</file>