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-15" yWindow="3960" windowWidth="15420" windowHeight="4005" tabRatio="837"/>
  </bookViews>
  <sheets>
    <sheet name="TOTAL FUNCFAC" sheetId="1" r:id="rId1"/>
    <sheet name="TAX DEPR" sheetId="7" r:id="rId2"/>
    <sheet name="GROSS PLANT" sheetId="4" r:id="rId3"/>
    <sheet name="FORM 1" sheetId="2" r:id="rId4"/>
    <sheet name="BOOKDPR" sheetId="3" r:id="rId5"/>
    <sheet name="OTHER REVENUE" sheetId="12" r:id="rId6"/>
    <sheet name="GENERAL PLANT" sheetId="9" r:id="rId7"/>
    <sheet name="INTANGIBLE PLANT" sheetId="5" r:id="rId8"/>
    <sheet name="SCH M" sheetId="13" r:id="rId9"/>
    <sheet name="DDS" sheetId="8" r:id="rId10"/>
  </sheets>
  <externalReferences>
    <externalReference r:id="rId11"/>
  </externalReferences>
  <definedNames>
    <definedName name="FactorMethod">[1]Variables!$AB$2</definedName>
    <definedName name="FACTORS" localSheetId="2">'GROSS PLANT'!$C$46:$G$52</definedName>
    <definedName name="FACTORS" localSheetId="7">'INTANGIBLE PLANT'!$I$24:$M$34</definedName>
    <definedName name="FACTORS">'GENERAL PLANT'!$C$44:$I$51</definedName>
    <definedName name="PacifiCorp">'INTANGIBLE PLANT'!$A$1:$H$42</definedName>
    <definedName name="page1">'TOTAL FUNCFAC'!$A$6:$H$41</definedName>
    <definedName name="page10">'SCH M'!$B$52:$J$85</definedName>
    <definedName name="page11">'SCH M'!$B$86:$J$135</definedName>
    <definedName name="page12">'SCH M'!$B$136:$J$155</definedName>
    <definedName name="page13">'TAX DEPR'!$A$1:$G$24</definedName>
    <definedName name="page14">DDS!$B$1:$J$57</definedName>
    <definedName name="page15">DDS!$B$58:$J$81</definedName>
    <definedName name="page16">'FORM 1'!$A$1:$G$42</definedName>
    <definedName name="page2">'TOTAL FUNCFAC'!$A$42:$H$65</definedName>
    <definedName name="page3">'GENERAL PLANT'!$A$1:$I$51</definedName>
    <definedName name="page4">'GROSS PLANT'!$A$2:$I$53</definedName>
    <definedName name="page5">'INTANGIBLE PLANT'!$A$1:$H$44</definedName>
    <definedName name="page6">#REF!</definedName>
    <definedName name="page7">'OTHER REVENUE'!$A$1:$I$35</definedName>
    <definedName name="page8">BOOKDPR!$A$1:$G$23</definedName>
    <definedName name="page9">'SCH M'!$A$1:$J$49</definedName>
    <definedName name="_xlnm.Print_Area" localSheetId="8">'SCH M'!$B$82:$J$131</definedName>
    <definedName name="_xlnm.Print_Titles" localSheetId="9">DDS!$1:$5</definedName>
    <definedName name="_xlnm.Print_Titles" localSheetId="5">'OTHER REVENUE'!$1:$6</definedName>
    <definedName name="_xlnm.Print_Titles" localSheetId="8">'SCH M'!$1:$5</definedName>
    <definedName name="_xlnm.Print_Titles" localSheetId="0">'TOTAL FUNCFAC'!$1:$6</definedName>
    <definedName name="Z_20A63875_964B_11D5_AAED_0004762A99E9_.wvu.PrintArea" localSheetId="9" hidden="1">DDS!$B$6:$J$80</definedName>
    <definedName name="Z_20A63875_964B_11D5_AAED_0004762A99E9_.wvu.PrintArea" localSheetId="5" hidden="1">'OTHER REVENUE'!$A$7:$I$36</definedName>
    <definedName name="Z_20A63875_964B_11D5_AAED_0004762A99E9_.wvu.PrintArea" localSheetId="8" hidden="1">'SCH M'!$B$6:$J$154</definedName>
    <definedName name="Z_20A63875_964B_11D5_AAED_0004762A99E9_.wvu.PrintArea" localSheetId="0" hidden="1">'TOTAL FUNCFAC'!$A$8:$H$65</definedName>
    <definedName name="Z_20A63875_964B_11D5_AAED_0004762A99E9_.wvu.PrintTitles" localSheetId="9" hidden="1">DDS!$1:$5</definedName>
    <definedName name="Z_20A63875_964B_11D5_AAED_0004762A99E9_.wvu.PrintTitles" localSheetId="5" hidden="1">'OTHER REVENUE'!$1:$6</definedName>
    <definedName name="Z_20A63875_964B_11D5_AAED_0004762A99E9_.wvu.PrintTitles" localSheetId="8" hidden="1">'SCH M'!$1:$5</definedName>
    <definedName name="Z_20A63875_964B_11D5_AAED_0004762A99E9_.wvu.PrintTitles" localSheetId="0" hidden="1">'TOTAL FUNCFAC'!$1:$6</definedName>
  </definedNames>
  <calcPr calcId="125725" calcMode="manual"/>
  <customWorkbookViews>
    <customWorkbookView name="PacifiCorp - Personal View" guid="{20A63875-964B-11D5-AAED-0004762A99E9}" mergeInterval="0" personalView="1" xWindow="1" yWindow="21" windowWidth="796" windowHeight="195" tabRatio="817" activeSheetId="8"/>
  </customWorkbookViews>
</workbook>
</file>

<file path=xl/calcChain.xml><?xml version="1.0" encoding="utf-8"?>
<calcChain xmlns="http://schemas.openxmlformats.org/spreadsheetml/2006/main">
  <c r="C8" i="7"/>
  <c r="A41" i="8" l="1"/>
  <c r="A42"/>
  <c r="A43"/>
  <c r="F40"/>
  <c r="G40"/>
  <c r="H40"/>
  <c r="I40"/>
  <c r="J40"/>
  <c r="A40"/>
  <c r="A103" i="13" l="1"/>
  <c r="A111"/>
  <c r="F111"/>
  <c r="G111"/>
  <c r="H111"/>
  <c r="I111"/>
  <c r="J111"/>
  <c r="A110"/>
  <c r="A89"/>
  <c r="A91"/>
  <c r="A49"/>
  <c r="A50"/>
  <c r="A40"/>
  <c r="A36"/>
  <c r="F34"/>
  <c r="G34"/>
  <c r="H34"/>
  <c r="I34"/>
  <c r="J34"/>
  <c r="A34"/>
  <c r="A20"/>
  <c r="F20" i="5" l="1"/>
  <c r="C28"/>
  <c r="F23" i="2" l="1"/>
  <c r="D18" i="7"/>
  <c r="C18"/>
  <c r="C37" i="2" l="1"/>
  <c r="B8" i="7" l="1"/>
  <c r="A88" i="13" l="1"/>
  <c r="J77" i="8"/>
  <c r="J19" s="1"/>
  <c r="I77"/>
  <c r="I19" s="1"/>
  <c r="H77"/>
  <c r="H19" s="1"/>
  <c r="A16"/>
  <c r="A17"/>
  <c r="A18"/>
  <c r="A19"/>
  <c r="A20"/>
  <c r="A21"/>
  <c r="A15"/>
  <c r="F16"/>
  <c r="G16"/>
  <c r="H16"/>
  <c r="I16"/>
  <c r="J16"/>
  <c r="F15"/>
  <c r="G15"/>
  <c r="H15"/>
  <c r="I15"/>
  <c r="J15"/>
  <c r="A129" i="13"/>
  <c r="A119"/>
  <c r="A128"/>
  <c r="A118"/>
  <c r="A125"/>
  <c r="A115"/>
  <c r="A123"/>
  <c r="A113"/>
  <c r="A98"/>
  <c r="F98"/>
  <c r="G98"/>
  <c r="H98"/>
  <c r="I98"/>
  <c r="J98"/>
  <c r="A99"/>
  <c r="F99"/>
  <c r="G99"/>
  <c r="H99"/>
  <c r="I99"/>
  <c r="J99"/>
  <c r="A100"/>
  <c r="A101"/>
  <c r="A102"/>
  <c r="H102"/>
  <c r="I102"/>
  <c r="J102"/>
  <c r="A37"/>
  <c r="A38"/>
  <c r="A39"/>
  <c r="A35"/>
  <c r="F35"/>
  <c r="G35"/>
  <c r="H35"/>
  <c r="I35"/>
  <c r="J35"/>
  <c r="A25"/>
  <c r="J31"/>
  <c r="I31"/>
  <c r="H31"/>
  <c r="G31"/>
  <c r="F31"/>
  <c r="A31"/>
  <c r="A9"/>
  <c r="C65" i="1"/>
  <c r="F65"/>
  <c r="G65"/>
  <c r="D39" i="2" l="1"/>
  <c r="C39"/>
  <c r="B23" l="1"/>
  <c r="D25" s="1"/>
  <c r="F25" l="1"/>
  <c r="C25"/>
  <c r="E25"/>
  <c r="G25"/>
  <c r="C19" i="7" l="1"/>
  <c r="B19" s="1"/>
  <c r="F18"/>
  <c r="E18"/>
  <c r="A22" i="13"/>
  <c r="A11"/>
  <c r="B18" i="7" l="1"/>
  <c r="D20" i="5" l="1"/>
  <c r="E20"/>
  <c r="G20"/>
  <c r="H20"/>
  <c r="A38" i="8"/>
  <c r="A37"/>
  <c r="D40" i="9"/>
  <c r="A10" i="13"/>
  <c r="I47" i="4" l="1"/>
  <c r="I9" s="1"/>
  <c r="I48"/>
  <c r="I10" s="1"/>
  <c r="I11"/>
  <c r="D14"/>
  <c r="C14"/>
  <c r="D15"/>
  <c r="C15"/>
  <c r="D16"/>
  <c r="C16"/>
  <c r="D17"/>
  <c r="D25" s="1"/>
  <c r="C17"/>
  <c r="D18"/>
  <c r="C18"/>
  <c r="D19"/>
  <c r="C19"/>
  <c r="D20"/>
  <c r="C20"/>
  <c r="D21"/>
  <c r="C21"/>
  <c r="D22"/>
  <c r="C22"/>
  <c r="D23"/>
  <c r="C23"/>
  <c r="D24"/>
  <c r="C24"/>
  <c r="I49"/>
  <c r="D28"/>
  <c r="C28"/>
  <c r="D29"/>
  <c r="C29"/>
  <c r="D30"/>
  <c r="C30"/>
  <c r="C8" i="2"/>
  <c r="C10" s="1"/>
  <c r="D8"/>
  <c r="D10" s="1"/>
  <c r="E8"/>
  <c r="E10" s="1"/>
  <c r="D31" i="4"/>
  <c r="C31"/>
  <c r="D32"/>
  <c r="C32"/>
  <c r="D33"/>
  <c r="C33"/>
  <c r="D34"/>
  <c r="C34"/>
  <c r="D35"/>
  <c r="C35"/>
  <c r="D36"/>
  <c r="C36"/>
  <c r="D37"/>
  <c r="C37"/>
  <c r="D38"/>
  <c r="C38"/>
  <c r="H47"/>
  <c r="H9" s="1"/>
  <c r="H48"/>
  <c r="H10" s="1"/>
  <c r="H11"/>
  <c r="H49"/>
  <c r="G47"/>
  <c r="G9" s="1"/>
  <c r="G48"/>
  <c r="G10" s="1"/>
  <c r="G11"/>
  <c r="F47"/>
  <c r="F9" s="1"/>
  <c r="F11"/>
  <c r="E48"/>
  <c r="E10" s="1"/>
  <c r="E11"/>
  <c r="E49"/>
  <c r="A45" i="8"/>
  <c r="A44"/>
  <c r="A39"/>
  <c r="A36"/>
  <c r="A28"/>
  <c r="A27"/>
  <c r="A26"/>
  <c r="A25"/>
  <c r="A24"/>
  <c r="A23"/>
  <c r="A22"/>
  <c r="A14"/>
  <c r="A13"/>
  <c r="A12"/>
  <c r="A11"/>
  <c r="A10"/>
  <c r="A9"/>
  <c r="A8"/>
  <c r="A7"/>
  <c r="A6"/>
  <c r="J24"/>
  <c r="J76"/>
  <c r="J28"/>
  <c r="I24"/>
  <c r="I76"/>
  <c r="I28"/>
  <c r="H24"/>
  <c r="H76"/>
  <c r="H23" s="1"/>
  <c r="H28"/>
  <c r="G24"/>
  <c r="G76"/>
  <c r="G28"/>
  <c r="F24"/>
  <c r="F28"/>
  <c r="A141" i="13"/>
  <c r="A140"/>
  <c r="A138"/>
  <c r="A137"/>
  <c r="A135"/>
  <c r="A134"/>
  <c r="A133"/>
  <c r="A131"/>
  <c r="A130"/>
  <c r="A127"/>
  <c r="A126"/>
  <c r="A124"/>
  <c r="A122"/>
  <c r="A121"/>
  <c r="A120"/>
  <c r="A117"/>
  <c r="A116"/>
  <c r="A114"/>
  <c r="A112"/>
  <c r="A109"/>
  <c r="A108"/>
  <c r="A107"/>
  <c r="A106"/>
  <c r="A105"/>
  <c r="A104"/>
  <c r="A97"/>
  <c r="A96"/>
  <c r="A95"/>
  <c r="A94"/>
  <c r="A93"/>
  <c r="A92"/>
  <c r="A90"/>
  <c r="A87"/>
  <c r="A86"/>
  <c r="A85"/>
  <c r="A84"/>
  <c r="A83"/>
  <c r="A82"/>
  <c r="A80"/>
  <c r="A79"/>
  <c r="A78"/>
  <c r="A76"/>
  <c r="A75"/>
  <c r="A74"/>
  <c r="A73"/>
  <c r="A72"/>
  <c r="A71"/>
  <c r="A70"/>
  <c r="A68"/>
  <c r="A67"/>
  <c r="A65"/>
  <c r="A64"/>
  <c r="A63"/>
  <c r="A62"/>
  <c r="A60"/>
  <c r="A58"/>
  <c r="A57"/>
  <c r="A55"/>
  <c r="A53"/>
  <c r="A52"/>
  <c r="A48"/>
  <c r="A47"/>
  <c r="A46"/>
  <c r="A45"/>
  <c r="A44"/>
  <c r="A43"/>
  <c r="A42"/>
  <c r="A41"/>
  <c r="A33"/>
  <c r="A32"/>
  <c r="A30"/>
  <c r="A29"/>
  <c r="A28"/>
  <c r="A27"/>
  <c r="A26"/>
  <c r="A24"/>
  <c r="A23"/>
  <c r="A21"/>
  <c r="A19"/>
  <c r="A18"/>
  <c r="A16"/>
  <c r="A15"/>
  <c r="A14"/>
  <c r="A13"/>
  <c r="A8"/>
  <c r="A7"/>
  <c r="J105"/>
  <c r="J106"/>
  <c r="J149"/>
  <c r="J63" s="1"/>
  <c r="J152"/>
  <c r="J83"/>
  <c r="I105"/>
  <c r="I106"/>
  <c r="I149"/>
  <c r="I152"/>
  <c r="I83"/>
  <c r="H105"/>
  <c r="H106"/>
  <c r="H149"/>
  <c r="H23" s="1"/>
  <c r="H152"/>
  <c r="H83"/>
  <c r="G105"/>
  <c r="G106"/>
  <c r="G149"/>
  <c r="G72" s="1"/>
  <c r="G83"/>
  <c r="F105"/>
  <c r="F106"/>
  <c r="F152"/>
  <c r="F83"/>
  <c r="H43" i="5"/>
  <c r="H19" s="1"/>
  <c r="G43"/>
  <c r="F43"/>
  <c r="F19" s="1"/>
  <c r="E43"/>
  <c r="E19" s="1"/>
  <c r="D43"/>
  <c r="G19"/>
  <c r="H14"/>
  <c r="G14"/>
  <c r="F14"/>
  <c r="E14"/>
  <c r="D14"/>
  <c r="H13"/>
  <c r="G13"/>
  <c r="F13"/>
  <c r="E13"/>
  <c r="D13"/>
  <c r="F19" i="13"/>
  <c r="G19"/>
  <c r="H19"/>
  <c r="I19"/>
  <c r="J19"/>
  <c r="F93"/>
  <c r="G93"/>
  <c r="H93"/>
  <c r="I93"/>
  <c r="J93"/>
  <c r="B2"/>
  <c r="B1"/>
  <c r="J18"/>
  <c r="J24"/>
  <c r="J30"/>
  <c r="J42"/>
  <c r="J43"/>
  <c r="J44"/>
  <c r="I18"/>
  <c r="I24"/>
  <c r="I30"/>
  <c r="I42"/>
  <c r="I43"/>
  <c r="I44"/>
  <c r="H18"/>
  <c r="H24"/>
  <c r="H30"/>
  <c r="H42"/>
  <c r="H43"/>
  <c r="H44"/>
  <c r="G18"/>
  <c r="G24"/>
  <c r="G30"/>
  <c r="G42"/>
  <c r="G43"/>
  <c r="G44"/>
  <c r="F18"/>
  <c r="F30"/>
  <c r="F42"/>
  <c r="F43"/>
  <c r="F44"/>
  <c r="G45" i="9"/>
  <c r="H15" s="1"/>
  <c r="H45"/>
  <c r="I16" s="1"/>
  <c r="G46"/>
  <c r="H10" s="1"/>
  <c r="H46"/>
  <c r="I10" s="1"/>
  <c r="G47"/>
  <c r="H14" s="1"/>
  <c r="H47"/>
  <c r="I14" s="1"/>
  <c r="F29" i="12"/>
  <c r="F10" s="1"/>
  <c r="D18"/>
  <c r="G29"/>
  <c r="G10" s="1"/>
  <c r="G30"/>
  <c r="G11" s="1"/>
  <c r="H29"/>
  <c r="H10" s="1"/>
  <c r="H30"/>
  <c r="H11" s="1"/>
  <c r="I29"/>
  <c r="I10" s="1"/>
  <c r="I30"/>
  <c r="I11" s="1"/>
  <c r="E30"/>
  <c r="E11" s="1"/>
  <c r="G134" i="13"/>
  <c r="G82"/>
  <c r="H82"/>
  <c r="I134"/>
  <c r="I82"/>
  <c r="I72"/>
  <c r="J82"/>
  <c r="F82"/>
  <c r="H47" i="1"/>
  <c r="D47" i="9"/>
  <c r="E14" s="1"/>
  <c r="E45"/>
  <c r="F15" s="1"/>
  <c r="F45"/>
  <c r="G15" s="1"/>
  <c r="F39" i="8"/>
  <c r="F48" s="1"/>
  <c r="F58"/>
  <c r="G39"/>
  <c r="G48" s="1"/>
  <c r="G58"/>
  <c r="H39"/>
  <c r="H48" s="1"/>
  <c r="H58"/>
  <c r="I39"/>
  <c r="I48" s="1"/>
  <c r="I58"/>
  <c r="J39"/>
  <c r="J48" s="1"/>
  <c r="J58"/>
  <c r="E48"/>
  <c r="E60"/>
  <c r="E7" i="12"/>
  <c r="D19"/>
  <c r="F7"/>
  <c r="G7"/>
  <c r="H7"/>
  <c r="I7"/>
  <c r="D42" i="1"/>
  <c r="E42"/>
  <c r="F42"/>
  <c r="G42"/>
  <c r="H33"/>
  <c r="H34"/>
  <c r="D38" i="5"/>
  <c r="A2"/>
  <c r="A1"/>
  <c r="E37"/>
  <c r="E9" s="1"/>
  <c r="F37"/>
  <c r="F9" s="1"/>
  <c r="F38"/>
  <c r="G37"/>
  <c r="G9" s="1"/>
  <c r="G38"/>
  <c r="H37"/>
  <c r="H9" s="1"/>
  <c r="H38"/>
  <c r="H11"/>
  <c r="H16" i="1"/>
  <c r="B39" i="2"/>
  <c r="C19" i="1"/>
  <c r="E39" i="2"/>
  <c r="E19" i="1" s="1"/>
  <c r="F39" i="2"/>
  <c r="F19" i="1" s="1"/>
  <c r="G39" i="2"/>
  <c r="B30"/>
  <c r="B32" s="1"/>
  <c r="E26" i="9"/>
  <c r="D26"/>
  <c r="F26"/>
  <c r="G26"/>
  <c r="H26"/>
  <c r="I26"/>
  <c r="E17"/>
  <c r="E27"/>
  <c r="D27"/>
  <c r="F17"/>
  <c r="F27"/>
  <c r="G17"/>
  <c r="G27"/>
  <c r="H17"/>
  <c r="H27"/>
  <c r="I17"/>
  <c r="I27"/>
  <c r="D46"/>
  <c r="E10" s="1"/>
  <c r="D28"/>
  <c r="F46"/>
  <c r="G10" s="1"/>
  <c r="D29"/>
  <c r="E40" s="1"/>
  <c r="F40" s="1"/>
  <c r="G8"/>
  <c r="G29" s="1"/>
  <c r="E19"/>
  <c r="D30"/>
  <c r="F19"/>
  <c r="G19"/>
  <c r="H19"/>
  <c r="I19"/>
  <c r="I21"/>
  <c r="E12"/>
  <c r="D31"/>
  <c r="F12"/>
  <c r="G12"/>
  <c r="H12"/>
  <c r="I12"/>
  <c r="E7"/>
  <c r="D32"/>
  <c r="D39" s="1"/>
  <c r="D41" s="1"/>
  <c r="F7"/>
  <c r="G7"/>
  <c r="H7"/>
  <c r="I7"/>
  <c r="D39" i="5"/>
  <c r="D23" s="1"/>
  <c r="G39"/>
  <c r="G23" s="1"/>
  <c r="H39"/>
  <c r="H23" s="1"/>
  <c r="D7"/>
  <c r="E7"/>
  <c r="F7"/>
  <c r="G7"/>
  <c r="H7"/>
  <c r="E64" i="13"/>
  <c r="F79" i="8"/>
  <c r="F42" s="1"/>
  <c r="H79"/>
  <c r="H42" s="1"/>
  <c r="I79"/>
  <c r="I42" s="1"/>
  <c r="J79"/>
  <c r="J42" s="1"/>
  <c r="G37"/>
  <c r="H36"/>
  <c r="I36"/>
  <c r="J36"/>
  <c r="F10"/>
  <c r="F11"/>
  <c r="F12"/>
  <c r="F81"/>
  <c r="G10"/>
  <c r="G11"/>
  <c r="G12"/>
  <c r="H10"/>
  <c r="H11"/>
  <c r="H12"/>
  <c r="I10"/>
  <c r="I11"/>
  <c r="I12"/>
  <c r="I81"/>
  <c r="J10"/>
  <c r="J11"/>
  <c r="J12"/>
  <c r="J81"/>
  <c r="E13" i="12"/>
  <c r="D15"/>
  <c r="F13"/>
  <c r="G13"/>
  <c r="H13"/>
  <c r="I13"/>
  <c r="E16"/>
  <c r="D16"/>
  <c r="F16"/>
  <c r="G16"/>
  <c r="H16"/>
  <c r="I16"/>
  <c r="I22" s="1"/>
  <c r="D17"/>
  <c r="I8"/>
  <c r="B12" i="3"/>
  <c r="B13" s="1"/>
  <c r="C7"/>
  <c r="C18"/>
  <c r="C8" s="1"/>
  <c r="C17"/>
  <c r="C11" s="1"/>
  <c r="D7"/>
  <c r="D18"/>
  <c r="D8" s="1"/>
  <c r="D16"/>
  <c r="D9" s="1"/>
  <c r="E7"/>
  <c r="E16"/>
  <c r="E9" s="1"/>
  <c r="E17"/>
  <c r="E11" s="1"/>
  <c r="F7"/>
  <c r="F18"/>
  <c r="F8" s="1"/>
  <c r="F16"/>
  <c r="F9" s="1"/>
  <c r="F17"/>
  <c r="F11" s="1"/>
  <c r="G7"/>
  <c r="G18"/>
  <c r="G8" s="1"/>
  <c r="G16"/>
  <c r="G9" s="1"/>
  <c r="G17"/>
  <c r="G11" s="1"/>
  <c r="B2" i="8"/>
  <c r="B1"/>
  <c r="B29" i="4"/>
  <c r="B30"/>
  <c r="B31"/>
  <c r="B32"/>
  <c r="B33"/>
  <c r="B34"/>
  <c r="B35"/>
  <c r="B36"/>
  <c r="B37"/>
  <c r="B38"/>
  <c r="B28"/>
  <c r="B24"/>
  <c r="B21"/>
  <c r="B22"/>
  <c r="B23"/>
  <c r="B15"/>
  <c r="B16"/>
  <c r="B17"/>
  <c r="B18"/>
  <c r="B19"/>
  <c r="B20"/>
  <c r="B14"/>
  <c r="C48" i="9"/>
  <c r="C49"/>
  <c r="A2" i="3"/>
  <c r="A1"/>
  <c r="D20" i="12"/>
  <c r="G7" i="8"/>
  <c r="G9"/>
  <c r="G23"/>
  <c r="H7"/>
  <c r="I6"/>
  <c r="I8"/>
  <c r="I22"/>
  <c r="J7"/>
  <c r="J9"/>
  <c r="J23"/>
  <c r="E74"/>
  <c r="B14" i="7"/>
  <c r="A2" i="2"/>
  <c r="A1"/>
  <c r="A2" i="4"/>
  <c r="A2" i="12"/>
  <c r="A2" i="9"/>
  <c r="A2" i="7"/>
  <c r="A1" i="12"/>
  <c r="A1" i="9"/>
  <c r="C21" i="3"/>
  <c r="F21"/>
  <c r="D330" i="7"/>
  <c r="E330"/>
  <c r="F330"/>
  <c r="G330"/>
  <c r="C63" i="1"/>
  <c r="E63"/>
  <c r="F63"/>
  <c r="G63"/>
  <c r="H133" i="13"/>
  <c r="H54" i="1"/>
  <c r="H44"/>
  <c r="H28"/>
  <c r="H27"/>
  <c r="D19"/>
  <c r="G19"/>
  <c r="H18"/>
  <c r="C17"/>
  <c r="D17"/>
  <c r="F17"/>
  <c r="G17"/>
  <c r="H10"/>
  <c r="G21" i="3"/>
  <c r="H12" i="1"/>
  <c r="A1" i="7"/>
  <c r="C330"/>
  <c r="D50" i="4"/>
  <c r="D51"/>
  <c r="C40" i="5"/>
  <c r="C41"/>
  <c r="E69" i="8"/>
  <c r="E70"/>
  <c r="E71"/>
  <c r="E72"/>
  <c r="E143" i="13"/>
  <c r="E144"/>
  <c r="E145"/>
  <c r="E146"/>
  <c r="F154"/>
  <c r="F40" s="1"/>
  <c r="I154"/>
  <c r="I40" s="1"/>
  <c r="J154"/>
  <c r="J40" s="1"/>
  <c r="E31" i="12"/>
  <c r="H31"/>
  <c r="I31"/>
  <c r="D32"/>
  <c r="D33"/>
  <c r="D35"/>
  <c r="B9" i="2"/>
  <c r="H9" i="8" l="1"/>
  <c r="F9" i="9"/>
  <c r="H13" i="8"/>
  <c r="F11" i="5"/>
  <c r="J62" i="13"/>
  <c r="G8" i="12"/>
  <c r="G11" i="5"/>
  <c r="H8" i="12"/>
  <c r="F14" i="4"/>
  <c r="G36" i="8"/>
  <c r="G41"/>
  <c r="I37"/>
  <c r="I41"/>
  <c r="H37"/>
  <c r="H41"/>
  <c r="J37"/>
  <c r="J41"/>
  <c r="F26" i="13"/>
  <c r="F89"/>
  <c r="H26"/>
  <c r="H89"/>
  <c r="J26"/>
  <c r="J89"/>
  <c r="I49"/>
  <c r="I89"/>
  <c r="G101"/>
  <c r="G50"/>
  <c r="I101"/>
  <c r="I50"/>
  <c r="H101"/>
  <c r="H50"/>
  <c r="J101"/>
  <c r="J50"/>
  <c r="E116"/>
  <c r="J64"/>
  <c r="J65" s="1"/>
  <c r="G20" i="9"/>
  <c r="I18"/>
  <c r="I15"/>
  <c r="E51" i="13"/>
  <c r="E29" i="8"/>
  <c r="E14" i="4"/>
  <c r="J133" i="13"/>
  <c r="H62"/>
  <c r="H63"/>
  <c r="I23" i="8"/>
  <c r="I9"/>
  <c r="I7"/>
  <c r="G22"/>
  <c r="G8"/>
  <c r="G6"/>
  <c r="I9" i="12"/>
  <c r="I17" s="1"/>
  <c r="I23" s="1"/>
  <c r="G37" i="1" s="1"/>
  <c r="H9" i="12"/>
  <c r="H17" s="1"/>
  <c r="H23" s="1"/>
  <c r="F37" i="1" s="1"/>
  <c r="G9" i="12"/>
  <c r="I13" i="8"/>
  <c r="G13"/>
  <c r="H64" i="13"/>
  <c r="H65" s="1"/>
  <c r="E77"/>
  <c r="E112"/>
  <c r="I20" i="9"/>
  <c r="I30" s="1"/>
  <c r="I36" s="1"/>
  <c r="G25" i="1" s="1"/>
  <c r="I8" i="9"/>
  <c r="I29" s="1"/>
  <c r="I35" s="1"/>
  <c r="I9"/>
  <c r="F18"/>
  <c r="H21" i="1"/>
  <c r="I11" i="9"/>
  <c r="J72" i="13"/>
  <c r="J134"/>
  <c r="H72"/>
  <c r="E134"/>
  <c r="I135" s="1"/>
  <c r="E52"/>
  <c r="E54"/>
  <c r="E53"/>
  <c r="E46" i="8"/>
  <c r="E24" i="4"/>
  <c r="I12"/>
  <c r="I41" i="13"/>
  <c r="I27"/>
  <c r="I133"/>
  <c r="G133"/>
  <c r="B8" i="2"/>
  <c r="I62" i="13"/>
  <c r="G62"/>
  <c r="I63"/>
  <c r="G63"/>
  <c r="J22" i="8"/>
  <c r="J8"/>
  <c r="J6"/>
  <c r="H22"/>
  <c r="H8"/>
  <c r="H6"/>
  <c r="J13"/>
  <c r="E47"/>
  <c r="E13" i="13"/>
  <c r="I64"/>
  <c r="I65" s="1"/>
  <c r="G64"/>
  <c r="G65" s="1"/>
  <c r="F64"/>
  <c r="F65" s="1"/>
  <c r="E117"/>
  <c r="E114"/>
  <c r="H20" i="9"/>
  <c r="F20"/>
  <c r="H18"/>
  <c r="F134" i="13"/>
  <c r="I73"/>
  <c r="H134"/>
  <c r="G73"/>
  <c r="I90"/>
  <c r="G41"/>
  <c r="G27"/>
  <c r="F113"/>
  <c r="G113"/>
  <c r="H113"/>
  <c r="I23" i="4"/>
  <c r="H20"/>
  <c r="H22"/>
  <c r="H18"/>
  <c r="H14"/>
  <c r="C26" i="5"/>
  <c r="E62" i="8"/>
  <c r="I113" i="13"/>
  <c r="E119"/>
  <c r="E20" i="4"/>
  <c r="F20"/>
  <c r="G20"/>
  <c r="H23"/>
  <c r="H19"/>
  <c r="G33"/>
  <c r="G29"/>
  <c r="G16"/>
  <c r="H21"/>
  <c r="H16"/>
  <c r="E22"/>
  <c r="E18"/>
  <c r="F22"/>
  <c r="F18"/>
  <c r="G22"/>
  <c r="G18"/>
  <c r="G14"/>
  <c r="H24"/>
  <c r="E78" i="13"/>
  <c r="G31" i="4"/>
  <c r="H28"/>
  <c r="F8" i="12"/>
  <c r="E9"/>
  <c r="H21" i="9"/>
  <c r="H8"/>
  <c r="H29" s="1"/>
  <c r="H35" s="1"/>
  <c r="H9"/>
  <c r="H16"/>
  <c r="J73" i="13"/>
  <c r="H73"/>
  <c r="J90"/>
  <c r="H90"/>
  <c r="H41"/>
  <c r="H27"/>
  <c r="I26"/>
  <c r="J41"/>
  <c r="J27"/>
  <c r="J23"/>
  <c r="E28" i="4"/>
  <c r="F28"/>
  <c r="G28"/>
  <c r="E30" i="8"/>
  <c r="E31"/>
  <c r="G8" i="5"/>
  <c r="E15"/>
  <c r="D24"/>
  <c r="J52" i="8"/>
  <c r="G14" i="1" s="1"/>
  <c r="I52" i="8"/>
  <c r="F14" i="1" s="1"/>
  <c r="H52" i="8"/>
  <c r="G52"/>
  <c r="F52"/>
  <c r="G9" i="9"/>
  <c r="G25" i="5"/>
  <c r="E24"/>
  <c r="J14" i="8"/>
  <c r="J21"/>
  <c r="H26"/>
  <c r="H18"/>
  <c r="J26"/>
  <c r="J18"/>
  <c r="I14"/>
  <c r="I21"/>
  <c r="F14"/>
  <c r="F21"/>
  <c r="G26"/>
  <c r="G18"/>
  <c r="I26"/>
  <c r="I18"/>
  <c r="H31" i="4"/>
  <c r="D25" i="5"/>
  <c r="G18" i="9"/>
  <c r="G23" i="4"/>
  <c r="G21"/>
  <c r="H33"/>
  <c r="E118" i="13"/>
  <c r="E115"/>
  <c r="E113"/>
  <c r="J113"/>
  <c r="G22" i="12"/>
  <c r="H8" i="5"/>
  <c r="F15"/>
  <c r="E25"/>
  <c r="G24"/>
  <c r="G16" i="9"/>
  <c r="H25" i="13"/>
  <c r="H38"/>
  <c r="J25"/>
  <c r="J38"/>
  <c r="G25"/>
  <c r="G38"/>
  <c r="I25"/>
  <c r="I38"/>
  <c r="G109"/>
  <c r="G9"/>
  <c r="I109"/>
  <c r="I9"/>
  <c r="H109"/>
  <c r="H9"/>
  <c r="J109"/>
  <c r="J9"/>
  <c r="E36" i="4"/>
  <c r="G34"/>
  <c r="G32"/>
  <c r="G30"/>
  <c r="H29"/>
  <c r="C24" i="5"/>
  <c r="H30" i="4"/>
  <c r="I19"/>
  <c r="H10" i="5"/>
  <c r="H22"/>
  <c r="F10"/>
  <c r="F22"/>
  <c r="G10"/>
  <c r="G22"/>
  <c r="D10"/>
  <c r="D22"/>
  <c r="G15"/>
  <c r="E8"/>
  <c r="C27"/>
  <c r="H25"/>
  <c r="F25"/>
  <c r="C25"/>
  <c r="H24"/>
  <c r="F24"/>
  <c r="F29" s="1"/>
  <c r="H34" i="4"/>
  <c r="H32"/>
  <c r="E32" i="2"/>
  <c r="E32" i="1" s="1"/>
  <c r="H36" i="4"/>
  <c r="H17"/>
  <c r="H15"/>
  <c r="H12"/>
  <c r="F32"/>
  <c r="J49" i="13"/>
  <c r="E17" i="4"/>
  <c r="F34"/>
  <c r="F29"/>
  <c r="F23"/>
  <c r="F21"/>
  <c r="F19"/>
  <c r="F16"/>
  <c r="H17" i="5"/>
  <c r="D14" i="2"/>
  <c r="B14" s="1"/>
  <c r="B17" i="3" s="1"/>
  <c r="D17" i="2"/>
  <c r="E18"/>
  <c r="E65" i="1" s="1"/>
  <c r="E15" i="2"/>
  <c r="C13"/>
  <c r="C17"/>
  <c r="E11" i="5"/>
  <c r="I21" i="4"/>
  <c r="I20"/>
  <c r="G17" i="12"/>
  <c r="G23" s="1"/>
  <c r="E37" i="1" s="1"/>
  <c r="I32" i="4"/>
  <c r="I23" i="13"/>
  <c r="G23"/>
  <c r="H38" i="4"/>
  <c r="G32" i="2"/>
  <c r="G32" i="1" s="1"/>
  <c r="C32" i="2"/>
  <c r="C32" i="1" s="1"/>
  <c r="I34" i="4"/>
  <c r="D17" i="5"/>
  <c r="E120" i="13"/>
  <c r="E14"/>
  <c r="E121"/>
  <c r="E137" s="1"/>
  <c r="E55"/>
  <c r="F49"/>
  <c r="H44" i="8"/>
  <c r="E49"/>
  <c r="I38"/>
  <c r="F38"/>
  <c r="I44"/>
  <c r="F44"/>
  <c r="J44"/>
  <c r="H22" i="1"/>
  <c r="F48" i="4"/>
  <c r="D48" s="1"/>
  <c r="E46" i="9"/>
  <c r="F10" s="1"/>
  <c r="G152" i="13"/>
  <c r="G89" s="1"/>
  <c r="D63" i="1"/>
  <c r="H63" s="1"/>
  <c r="E47" i="4"/>
  <c r="D47" s="1"/>
  <c r="F149" i="13"/>
  <c r="F50" s="1"/>
  <c r="E29" i="12"/>
  <c r="C42" i="1"/>
  <c r="H42" s="1"/>
  <c r="B13" i="2"/>
  <c r="B16" i="3" s="1"/>
  <c r="F76" i="8"/>
  <c r="D45" i="9"/>
  <c r="E9" s="1"/>
  <c r="D37" i="5"/>
  <c r="D8" s="1"/>
  <c r="C16" i="3"/>
  <c r="C9" s="1"/>
  <c r="D18" i="2"/>
  <c r="D65" i="1" s="1"/>
  <c r="H65" s="1"/>
  <c r="I31" i="4"/>
  <c r="G35" i="9"/>
  <c r="I30" i="4"/>
  <c r="H15" i="5"/>
  <c r="F8"/>
  <c r="E21" i="9"/>
  <c r="F8"/>
  <c r="F29" s="1"/>
  <c r="F35" s="1"/>
  <c r="F16"/>
  <c r="E11"/>
  <c r="H11"/>
  <c r="H49" i="13"/>
  <c r="I24" i="4"/>
  <c r="H19" i="1"/>
  <c r="E38" i="4"/>
  <c r="G19"/>
  <c r="G17"/>
  <c r="G15"/>
  <c r="G12"/>
  <c r="C14" i="1"/>
  <c r="G12" i="5"/>
  <c r="C43"/>
  <c r="I36" i="4"/>
  <c r="I28"/>
  <c r="E14" i="1"/>
  <c r="I17" i="4"/>
  <c r="I16"/>
  <c r="I15"/>
  <c r="I14"/>
  <c r="H22" i="12"/>
  <c r="F22"/>
  <c r="G31" i="1"/>
  <c r="B25" i="2"/>
  <c r="E32" i="8"/>
  <c r="E22" i="12"/>
  <c r="F32" i="2"/>
  <c r="F32" i="1" s="1"/>
  <c r="D32" i="2"/>
  <c r="D32" i="1" s="1"/>
  <c r="E12" i="5"/>
  <c r="D19"/>
  <c r="E31" i="4"/>
  <c r="F33"/>
  <c r="F30"/>
  <c r="F15"/>
  <c r="F12"/>
  <c r="I38"/>
  <c r="D39"/>
  <c r="D41" s="1"/>
  <c r="I33"/>
  <c r="I29"/>
  <c r="I22"/>
  <c r="I18"/>
  <c r="B10" i="2"/>
  <c r="E16" s="1"/>
  <c r="E9" i="4"/>
  <c r="E21"/>
  <c r="F17"/>
  <c r="J148" i="13"/>
  <c r="J91" s="1"/>
  <c r="J75" i="8"/>
  <c r="J38"/>
  <c r="H38"/>
  <c r="H47" s="1"/>
  <c r="H51" s="1"/>
  <c r="E15" i="1" s="1"/>
  <c r="G17" i="5"/>
  <c r="H12"/>
  <c r="F12"/>
  <c r="I18" i="12"/>
  <c r="I24" s="1"/>
  <c r="G38" i="1" s="1"/>
  <c r="G39" s="1"/>
  <c r="H18" i="12"/>
  <c r="H24" s="1"/>
  <c r="F38" i="1" s="1"/>
  <c r="F39" s="1"/>
  <c r="G18" i="12"/>
  <c r="G24" s="1"/>
  <c r="E38" i="1" s="1"/>
  <c r="E39" s="1"/>
  <c r="G18" i="7"/>
  <c r="G21" s="1"/>
  <c r="D21"/>
  <c r="E21"/>
  <c r="F21"/>
  <c r="E16" i="4" l="1"/>
  <c r="G79" i="8"/>
  <c r="G42" s="1"/>
  <c r="D17" i="3"/>
  <c r="D11" s="1"/>
  <c r="F30" i="12"/>
  <c r="D30" s="1"/>
  <c r="E38" i="5"/>
  <c r="E22" s="1"/>
  <c r="G135" i="13"/>
  <c r="G29" i="5"/>
  <c r="E32" i="4"/>
  <c r="E30"/>
  <c r="E15"/>
  <c r="E25" s="1"/>
  <c r="G30" i="5"/>
  <c r="J47" i="8"/>
  <c r="J51" s="1"/>
  <c r="G15" i="1" s="1"/>
  <c r="H28" i="9"/>
  <c r="H34" s="1"/>
  <c r="F24" i="1" s="1"/>
  <c r="I47" i="8"/>
  <c r="I51" s="1"/>
  <c r="F15" i="1" s="1"/>
  <c r="J17" i="8"/>
  <c r="J43"/>
  <c r="F18"/>
  <c r="F41"/>
  <c r="J115" i="13"/>
  <c r="D29" i="5"/>
  <c r="C29" s="1"/>
  <c r="J29" i="8"/>
  <c r="J33" s="1"/>
  <c r="G13" i="1" s="1"/>
  <c r="J135" i="13"/>
  <c r="J100"/>
  <c r="J36"/>
  <c r="E29" i="5"/>
  <c r="F135" i="13"/>
  <c r="H25" i="4"/>
  <c r="I29" i="8"/>
  <c r="I33" s="1"/>
  <c r="F13" i="1" s="1"/>
  <c r="E30" i="5"/>
  <c r="D30"/>
  <c r="C30" s="1"/>
  <c r="H30" i="9"/>
  <c r="H36" s="1"/>
  <c r="F25" i="1" s="1"/>
  <c r="I28" i="9"/>
  <c r="I34" s="1"/>
  <c r="G24" i="1" s="1"/>
  <c r="E34" i="4"/>
  <c r="E29"/>
  <c r="E33"/>
  <c r="E23"/>
  <c r="E19"/>
  <c r="E12"/>
  <c r="H135" i="13"/>
  <c r="F123"/>
  <c r="J125"/>
  <c r="I123"/>
  <c r="D12" i="5"/>
  <c r="D16" i="2"/>
  <c r="G78" i="8" s="1"/>
  <c r="G20" s="1"/>
  <c r="D22" i="12"/>
  <c r="C16" i="2"/>
  <c r="E52" i="4" s="1"/>
  <c r="G16" i="2"/>
  <c r="J78" i="8" s="1"/>
  <c r="J20" s="1"/>
  <c r="J30" s="1"/>
  <c r="H29" i="5"/>
  <c r="J123" i="13"/>
  <c r="F150"/>
  <c r="F77" i="8"/>
  <c r="G150" i="13"/>
  <c r="G102" s="1"/>
  <c r="G77" i="8"/>
  <c r="G19" s="1"/>
  <c r="G123" i="13"/>
  <c r="H123"/>
  <c r="F101"/>
  <c r="F90"/>
  <c r="F25"/>
  <c r="F38"/>
  <c r="F23"/>
  <c r="F9"/>
  <c r="E67"/>
  <c r="H30" i="5"/>
  <c r="E64" i="8"/>
  <c r="F30" i="5"/>
  <c r="F31" i="4"/>
  <c r="F10"/>
  <c r="B17" i="2"/>
  <c r="G49" i="4"/>
  <c r="F47" i="9"/>
  <c r="F39" i="5"/>
  <c r="H81" i="8"/>
  <c r="E21" i="3"/>
  <c r="H154" i="13"/>
  <c r="H40" s="1"/>
  <c r="G31" i="12"/>
  <c r="B15" i="2"/>
  <c r="E18" i="3"/>
  <c r="E8" s="1"/>
  <c r="E17" i="1"/>
  <c r="H17" s="1"/>
  <c r="J7" i="13"/>
  <c r="J22"/>
  <c r="J51" s="1"/>
  <c r="J56" s="1"/>
  <c r="G49" i="1" s="1"/>
  <c r="J46" i="13"/>
  <c r="H32" i="1"/>
  <c r="I25" i="4"/>
  <c r="F16" i="2"/>
  <c r="H52" i="4" s="1"/>
  <c r="E47" i="9"/>
  <c r="B18" i="2"/>
  <c r="B21" i="3" s="1"/>
  <c r="E39" i="5"/>
  <c r="G81" i="8"/>
  <c r="G21" s="1"/>
  <c r="D21" i="3"/>
  <c r="F49" i="4"/>
  <c r="G154" i="13"/>
  <c r="G40" s="1"/>
  <c r="F31" i="12"/>
  <c r="D9" i="5"/>
  <c r="D15"/>
  <c r="C37"/>
  <c r="D11"/>
  <c r="F26" i="8"/>
  <c r="F36"/>
  <c r="F7"/>
  <c r="F9"/>
  <c r="F23"/>
  <c r="E76"/>
  <c r="F37"/>
  <c r="F47" s="1"/>
  <c r="F51" s="1"/>
  <c r="C15" i="1" s="1"/>
  <c r="F13" i="8"/>
  <c r="F6"/>
  <c r="F8"/>
  <c r="F22"/>
  <c r="F109" i="13"/>
  <c r="F72"/>
  <c r="F62"/>
  <c r="E149"/>
  <c r="F63"/>
  <c r="F133"/>
  <c r="F24"/>
  <c r="F27"/>
  <c r="F41"/>
  <c r="F73"/>
  <c r="G49"/>
  <c r="G26"/>
  <c r="G90"/>
  <c r="E152"/>
  <c r="E15" i="9"/>
  <c r="E18"/>
  <c r="E20"/>
  <c r="E30" s="1"/>
  <c r="E36" s="1"/>
  <c r="C25" i="1" s="1"/>
  <c r="C45" i="9"/>
  <c r="E16"/>
  <c r="E8"/>
  <c r="E8" i="12"/>
  <c r="E17" s="1"/>
  <c r="E23" s="1"/>
  <c r="D29"/>
  <c r="E10"/>
  <c r="G38" i="8"/>
  <c r="G47" s="1"/>
  <c r="G51" s="1"/>
  <c r="D15" i="1" s="1"/>
  <c r="C46" i="9"/>
  <c r="C38" i="5"/>
  <c r="F11" i="12"/>
  <c r="F18" s="1"/>
  <c r="F24" s="1"/>
  <c r="D38" i="1" s="1"/>
  <c r="D39" s="1"/>
  <c r="F9" i="12"/>
  <c r="F17" s="1"/>
  <c r="F23" s="1"/>
  <c r="D37" i="1" s="1"/>
  <c r="E65" i="13"/>
  <c r="F148"/>
  <c r="F91" s="1"/>
  <c r="F75" i="8"/>
  <c r="C31" i="1"/>
  <c r="I148" i="13"/>
  <c r="I91" s="1"/>
  <c r="I115" s="1"/>
  <c r="I125" s="1"/>
  <c r="I75" i="8"/>
  <c r="F31" i="1"/>
  <c r="H148" i="13"/>
  <c r="H91" s="1"/>
  <c r="H115" s="1"/>
  <c r="H125" s="1"/>
  <c r="H75" i="8"/>
  <c r="E31" i="1"/>
  <c r="G148" i="13"/>
  <c r="G91" s="1"/>
  <c r="G75" i="8"/>
  <c r="D31" i="1"/>
  <c r="F78" i="8"/>
  <c r="F20" s="1"/>
  <c r="D50" i="9"/>
  <c r="E34" i="12"/>
  <c r="F52" i="4"/>
  <c r="H50" i="9"/>
  <c r="I13" s="1"/>
  <c r="E36" i="1"/>
  <c r="E35"/>
  <c r="G36"/>
  <c r="G35"/>
  <c r="J108" i="13"/>
  <c r="J32"/>
  <c r="I53" i="4"/>
  <c r="I37" s="1"/>
  <c r="J8" i="13"/>
  <c r="J71"/>
  <c r="J75"/>
  <c r="H44" i="5"/>
  <c r="I151" i="13"/>
  <c r="G52" i="4"/>
  <c r="H78" i="8"/>
  <c r="H20" s="1"/>
  <c r="H151" i="13"/>
  <c r="F50" i="9"/>
  <c r="G13" s="1"/>
  <c r="G34" i="12"/>
  <c r="F42" i="5"/>
  <c r="F21" s="1"/>
  <c r="E20" i="3"/>
  <c r="E10" s="1"/>
  <c r="C21" i="7"/>
  <c r="F36" i="1"/>
  <c r="F35"/>
  <c r="J25" i="8"/>
  <c r="J56"/>
  <c r="J45"/>
  <c r="J46" s="1"/>
  <c r="J50" s="1"/>
  <c r="J55"/>
  <c r="E52"/>
  <c r="D14" i="1"/>
  <c r="H14" s="1"/>
  <c r="G44" i="8" l="1"/>
  <c r="E42" i="5"/>
  <c r="E21" s="1"/>
  <c r="E50" i="9"/>
  <c r="F13" s="1"/>
  <c r="E79" i="8"/>
  <c r="E10" i="5"/>
  <c r="H17" i="8"/>
  <c r="H43"/>
  <c r="F17"/>
  <c r="F43"/>
  <c r="G17"/>
  <c r="G30" s="1"/>
  <c r="G43"/>
  <c r="I17"/>
  <c r="I43"/>
  <c r="I110" i="13"/>
  <c r="I103"/>
  <c r="H110"/>
  <c r="H103"/>
  <c r="G115"/>
  <c r="G125" s="1"/>
  <c r="F115"/>
  <c r="F125" s="1"/>
  <c r="G100"/>
  <c r="G36"/>
  <c r="I100"/>
  <c r="I36"/>
  <c r="H100"/>
  <c r="H36"/>
  <c r="F100"/>
  <c r="F36"/>
  <c r="E135"/>
  <c r="G42" i="5"/>
  <c r="G21" s="1"/>
  <c r="G27" s="1"/>
  <c r="G32" s="1"/>
  <c r="F30" i="1" s="1"/>
  <c r="I78" i="8"/>
  <c r="I20" s="1"/>
  <c r="H42" i="5"/>
  <c r="H21" s="1"/>
  <c r="H27" s="1"/>
  <c r="H32" s="1"/>
  <c r="G30" i="1" s="1"/>
  <c r="B16" i="2"/>
  <c r="B20" i="3" s="1"/>
  <c r="G20"/>
  <c r="G10" s="1"/>
  <c r="G12" s="1"/>
  <c r="G13" s="1"/>
  <c r="G8" i="1" s="1"/>
  <c r="I34" i="12"/>
  <c r="J151" i="13"/>
  <c r="J86" s="1"/>
  <c r="I52" i="4"/>
  <c r="D52" s="1"/>
  <c r="E29" i="9"/>
  <c r="E35" s="1"/>
  <c r="D35" s="1"/>
  <c r="E18" i="12"/>
  <c r="E24" s="1"/>
  <c r="C38" i="1" s="1"/>
  <c r="H38" s="1"/>
  <c r="F20" i="3"/>
  <c r="F10" s="1"/>
  <c r="F12" s="1"/>
  <c r="F13" s="1"/>
  <c r="F8" i="1" s="1"/>
  <c r="H34" i="12"/>
  <c r="G50" i="9"/>
  <c r="H13" s="1"/>
  <c r="H31" s="1"/>
  <c r="H37" s="1"/>
  <c r="D20" i="3"/>
  <c r="D10" s="1"/>
  <c r="D12" s="1"/>
  <c r="D13" s="1"/>
  <c r="D8" i="1" s="1"/>
  <c r="F34" i="12"/>
  <c r="G151" i="13"/>
  <c r="G103" s="1"/>
  <c r="D42" i="5"/>
  <c r="D21" s="1"/>
  <c r="D27" s="1"/>
  <c r="D32" s="1"/>
  <c r="C30" i="1" s="1"/>
  <c r="C20" i="3"/>
  <c r="C10" s="1"/>
  <c r="C12" s="1"/>
  <c r="C13" s="1"/>
  <c r="C8" i="1" s="1"/>
  <c r="F151" i="13"/>
  <c r="F103" s="1"/>
  <c r="H15" i="1"/>
  <c r="F102" i="13"/>
  <c r="E150"/>
  <c r="E77" i="8"/>
  <c r="F19"/>
  <c r="F29"/>
  <c r="F33" s="1"/>
  <c r="C13" i="1" s="1"/>
  <c r="H14" i="8"/>
  <c r="H21"/>
  <c r="E123" i="13"/>
  <c r="G39"/>
  <c r="H39"/>
  <c r="H86"/>
  <c r="I39"/>
  <c r="I86"/>
  <c r="E154"/>
  <c r="F39"/>
  <c r="E75" i="8"/>
  <c r="G14" i="9"/>
  <c r="G11"/>
  <c r="G28" s="1"/>
  <c r="G34" s="1"/>
  <c r="E24" i="1" s="1"/>
  <c r="G21" i="9"/>
  <c r="G30" s="1"/>
  <c r="G36" s="1"/>
  <c r="E25" i="1" s="1"/>
  <c r="B19" i="3"/>
  <c r="B18"/>
  <c r="F23" i="5"/>
  <c r="F27" s="1"/>
  <c r="F32" s="1"/>
  <c r="E30" i="1" s="1"/>
  <c r="F17" i="5"/>
  <c r="G36" i="4"/>
  <c r="G38"/>
  <c r="G24"/>
  <c r="G25" s="1"/>
  <c r="E12" i="3"/>
  <c r="E13" s="1"/>
  <c r="E8" i="1" s="1"/>
  <c r="E148" i="13"/>
  <c r="D31" i="12"/>
  <c r="H48" i="13"/>
  <c r="H96"/>
  <c r="I48"/>
  <c r="I96"/>
  <c r="J48"/>
  <c r="F96"/>
  <c r="H7"/>
  <c r="H22"/>
  <c r="H51" s="1"/>
  <c r="H56" s="1"/>
  <c r="E49" i="1" s="1"/>
  <c r="H46" i="13"/>
  <c r="F7"/>
  <c r="F22"/>
  <c r="F51" s="1"/>
  <c r="F56" s="1"/>
  <c r="F46"/>
  <c r="G7"/>
  <c r="G22"/>
  <c r="G51" s="1"/>
  <c r="G56" s="1"/>
  <c r="D49" i="1" s="1"/>
  <c r="G46" i="13"/>
  <c r="I7"/>
  <c r="I22"/>
  <c r="I51" s="1"/>
  <c r="I56" s="1"/>
  <c r="F49" i="1" s="1"/>
  <c r="I46" i="13"/>
  <c r="G10"/>
  <c r="G11"/>
  <c r="F10"/>
  <c r="F11"/>
  <c r="H10"/>
  <c r="H11"/>
  <c r="I10"/>
  <c r="I11"/>
  <c r="J10"/>
  <c r="J11"/>
  <c r="H9" i="1"/>
  <c r="E51" i="8"/>
  <c r="D36" i="1"/>
  <c r="D35"/>
  <c r="D23" i="12"/>
  <c r="C37" i="1"/>
  <c r="H37" s="1"/>
  <c r="E28" i="9"/>
  <c r="E34" s="1"/>
  <c r="C24" i="1" s="1"/>
  <c r="G14" i="8"/>
  <c r="E81"/>
  <c r="F24" i="4"/>
  <c r="F25" s="1"/>
  <c r="F38"/>
  <c r="F36"/>
  <c r="D49"/>
  <c r="E23" i="5"/>
  <c r="E27" s="1"/>
  <c r="E32" s="1"/>
  <c r="C39"/>
  <c r="E17"/>
  <c r="F14" i="9"/>
  <c r="F31" s="1"/>
  <c r="F37" s="1"/>
  <c r="F21"/>
  <c r="F30" s="1"/>
  <c r="F36" s="1"/>
  <c r="D25" i="1" s="1"/>
  <c r="C47" i="9"/>
  <c r="F11"/>
  <c r="F28" s="1"/>
  <c r="F34" s="1"/>
  <c r="D24" i="1" s="1"/>
  <c r="G25" i="8"/>
  <c r="G56"/>
  <c r="G55"/>
  <c r="G45"/>
  <c r="G53" i="4"/>
  <c r="G37" s="1"/>
  <c r="H108" i="13"/>
  <c r="H75"/>
  <c r="F44" i="5"/>
  <c r="F18" s="1"/>
  <c r="H32" i="13"/>
  <c r="H8"/>
  <c r="H71"/>
  <c r="I25" i="8"/>
  <c r="I55"/>
  <c r="I56"/>
  <c r="I45"/>
  <c r="F71" i="13"/>
  <c r="D44" i="5"/>
  <c r="D18" s="1"/>
  <c r="F75" i="13"/>
  <c r="E53" i="4"/>
  <c r="F32" i="13"/>
  <c r="F108"/>
  <c r="F8"/>
  <c r="H31" i="1"/>
  <c r="F53" i="4"/>
  <c r="F37" s="1"/>
  <c r="G108" i="13"/>
  <c r="G8"/>
  <c r="G75"/>
  <c r="G32"/>
  <c r="G71"/>
  <c r="E44" i="5"/>
  <c r="E18" s="1"/>
  <c r="H25" i="8"/>
  <c r="H55"/>
  <c r="H45"/>
  <c r="H56"/>
  <c r="G44" i="5"/>
  <c r="G18" s="1"/>
  <c r="H53" i="4"/>
  <c r="H37" s="1"/>
  <c r="I32" i="13"/>
  <c r="I8"/>
  <c r="I75"/>
  <c r="I108"/>
  <c r="I71"/>
  <c r="F25" i="8"/>
  <c r="F56"/>
  <c r="F55"/>
  <c r="F45"/>
  <c r="G12" i="12"/>
  <c r="G14"/>
  <c r="G15" s="1"/>
  <c r="G21" s="1"/>
  <c r="E40" i="1" s="1"/>
  <c r="H85" i="13"/>
  <c r="H29"/>
  <c r="H47"/>
  <c r="H33"/>
  <c r="H92"/>
  <c r="H116" s="1"/>
  <c r="H126" s="1"/>
  <c r="E61" i="1" s="1"/>
  <c r="H74" i="13"/>
  <c r="H76"/>
  <c r="G35" i="4"/>
  <c r="I33" i="13"/>
  <c r="I85"/>
  <c r="I29"/>
  <c r="I47"/>
  <c r="I92"/>
  <c r="I116" s="1"/>
  <c r="I126" s="1"/>
  <c r="F61" i="1" s="1"/>
  <c r="I74" i="13"/>
  <c r="I76"/>
  <c r="I27" i="8"/>
  <c r="I57"/>
  <c r="I59"/>
  <c r="H16" i="5"/>
  <c r="I31" i="9"/>
  <c r="I37" s="1"/>
  <c r="I32"/>
  <c r="I38" s="1"/>
  <c r="J27" i="8"/>
  <c r="J31" s="1"/>
  <c r="J34" s="1"/>
  <c r="G11" i="1" s="1"/>
  <c r="J57" i="8"/>
  <c r="J59"/>
  <c r="F12" i="12"/>
  <c r="F14"/>
  <c r="F15" s="1"/>
  <c r="F21" s="1"/>
  <c r="D40" i="1" s="1"/>
  <c r="G33" i="13"/>
  <c r="G85"/>
  <c r="G29"/>
  <c r="G47"/>
  <c r="G27" i="8"/>
  <c r="G57"/>
  <c r="G59"/>
  <c r="F33" i="13"/>
  <c r="F85"/>
  <c r="F29"/>
  <c r="F47"/>
  <c r="F92"/>
  <c r="F116" s="1"/>
  <c r="F126" s="1"/>
  <c r="F74"/>
  <c r="F76"/>
  <c r="E35" i="4"/>
  <c r="J49" i="8"/>
  <c r="B21" i="7"/>
  <c r="F16" i="5"/>
  <c r="G31" i="9"/>
  <c r="G37" s="1"/>
  <c r="H27" i="8"/>
  <c r="H57"/>
  <c r="H59"/>
  <c r="H12" i="12"/>
  <c r="H14"/>
  <c r="H15" s="1"/>
  <c r="H21" s="1"/>
  <c r="F40" i="1" s="1"/>
  <c r="H35" i="4"/>
  <c r="H18" i="5"/>
  <c r="I12" i="12"/>
  <c r="I14"/>
  <c r="I15" s="1"/>
  <c r="I21" s="1"/>
  <c r="G40" i="1" s="1"/>
  <c r="J85" i="13"/>
  <c r="J33"/>
  <c r="J54" s="1"/>
  <c r="J59" s="1"/>
  <c r="G52" i="1" s="1"/>
  <c r="J29" i="13"/>
  <c r="J47"/>
  <c r="J92"/>
  <c r="J116" s="1"/>
  <c r="J126" s="1"/>
  <c r="G61" i="1" s="1"/>
  <c r="J74" i="13"/>
  <c r="J76"/>
  <c r="J77" s="1"/>
  <c r="J79" s="1"/>
  <c r="G56" i="1" s="1"/>
  <c r="I35" i="4"/>
  <c r="E16" i="5"/>
  <c r="F35" i="4"/>
  <c r="E12" i="12"/>
  <c r="E14"/>
  <c r="E15" s="1"/>
  <c r="E21" s="1"/>
  <c r="E13" i="9"/>
  <c r="E32" s="1"/>
  <c r="E38" s="1"/>
  <c r="F27" i="8"/>
  <c r="F57"/>
  <c r="F59"/>
  <c r="E78"/>
  <c r="F32" i="9"/>
  <c r="F38" s="1"/>
  <c r="D20" i="1" s="1"/>
  <c r="D16" i="5" l="1"/>
  <c r="D28" s="1"/>
  <c r="D33" s="1"/>
  <c r="C26" i="1" s="1"/>
  <c r="C50" i="9"/>
  <c r="F28" i="5"/>
  <c r="G92" i="13"/>
  <c r="G116" s="1"/>
  <c r="G126" s="1"/>
  <c r="D61" i="1" s="1"/>
  <c r="H32" i="9"/>
  <c r="H38" s="1"/>
  <c r="F22" i="3" s="1"/>
  <c r="G76" i="13"/>
  <c r="J39"/>
  <c r="G48"/>
  <c r="J96"/>
  <c r="F48"/>
  <c r="E125"/>
  <c r="D34" i="12"/>
  <c r="G77" i="13"/>
  <c r="G79" s="1"/>
  <c r="D56" i="1" s="1"/>
  <c r="H30" i="8"/>
  <c r="H8" i="1"/>
  <c r="I30" i="8"/>
  <c r="F30"/>
  <c r="J110" i="13"/>
  <c r="J103"/>
  <c r="F86"/>
  <c r="F110"/>
  <c r="G86"/>
  <c r="G110"/>
  <c r="E151"/>
  <c r="C42" i="5"/>
  <c r="G74" i="13"/>
  <c r="G78" s="1"/>
  <c r="G80" s="1"/>
  <c r="D55" i="1" s="1"/>
  <c r="G16" i="5"/>
  <c r="G96" i="13"/>
  <c r="D24" i="12"/>
  <c r="C39" i="1"/>
  <c r="H39" s="1"/>
  <c r="J14" i="13"/>
  <c r="J16" s="1"/>
  <c r="G45" i="1" s="1"/>
  <c r="H31" i="8"/>
  <c r="H34" s="1"/>
  <c r="E11" i="1" s="1"/>
  <c r="G31" i="8"/>
  <c r="G34" s="1"/>
  <c r="D11" i="1" s="1"/>
  <c r="F31" i="8"/>
  <c r="I31"/>
  <c r="I77" i="13"/>
  <c r="I79" s="1"/>
  <c r="F56" i="1" s="1"/>
  <c r="H29" i="8"/>
  <c r="H33" s="1"/>
  <c r="E13" i="1" s="1"/>
  <c r="G29" i="8"/>
  <c r="G33" s="1"/>
  <c r="C44" i="5"/>
  <c r="F77" i="13"/>
  <c r="F79" s="1"/>
  <c r="C56" i="1" s="1"/>
  <c r="G54" i="13"/>
  <c r="G59" s="1"/>
  <c r="D52" i="1" s="1"/>
  <c r="J13" i="13"/>
  <c r="J15" s="1"/>
  <c r="G46" i="1" s="1"/>
  <c r="H24"/>
  <c r="G32" i="9"/>
  <c r="G38" s="1"/>
  <c r="E22" i="3" s="1"/>
  <c r="D34" i="9"/>
  <c r="F54" i="13"/>
  <c r="F59" s="1"/>
  <c r="C52" i="1" s="1"/>
  <c r="C49"/>
  <c r="H49" s="1"/>
  <c r="E56" i="13"/>
  <c r="J60" i="8"/>
  <c r="J62" s="1"/>
  <c r="H78" i="13"/>
  <c r="H80" s="1"/>
  <c r="E55" i="1" s="1"/>
  <c r="I32" i="8"/>
  <c r="I60"/>
  <c r="I62" s="1"/>
  <c r="D30" i="1"/>
  <c r="H30" s="1"/>
  <c r="C32" i="5"/>
  <c r="D13" i="1"/>
  <c r="H25"/>
  <c r="F34" i="8"/>
  <c r="I34"/>
  <c r="F11" i="1" s="1"/>
  <c r="I54" i="13"/>
  <c r="I59" s="1"/>
  <c r="F52" i="1" s="1"/>
  <c r="H77" i="13"/>
  <c r="H79" s="1"/>
  <c r="E56" i="1" s="1"/>
  <c r="H54" i="13"/>
  <c r="H59" s="1"/>
  <c r="E52" i="1" s="1"/>
  <c r="D36" i="9"/>
  <c r="J78" i="13"/>
  <c r="J80" s="1"/>
  <c r="G55" i="1" s="1"/>
  <c r="F46" i="8"/>
  <c r="F50" s="1"/>
  <c r="F49"/>
  <c r="I13" i="13"/>
  <c r="I15" s="1"/>
  <c r="F46" i="1" s="1"/>
  <c r="I14" i="13"/>
  <c r="I16" s="1"/>
  <c r="F45" i="1" s="1"/>
  <c r="H46" i="8"/>
  <c r="H50" s="1"/>
  <c r="H49"/>
  <c r="I46"/>
  <c r="I50" s="1"/>
  <c r="I49"/>
  <c r="I64" s="1"/>
  <c r="H14" i="13"/>
  <c r="H16" s="1"/>
  <c r="E45" i="1" s="1"/>
  <c r="H13" i="13"/>
  <c r="H15" s="1"/>
  <c r="E46" i="1" s="1"/>
  <c r="F32" i="8"/>
  <c r="F60"/>
  <c r="F62" s="1"/>
  <c r="G14" i="13"/>
  <c r="G16" s="1"/>
  <c r="D45" i="1" s="1"/>
  <c r="G13" i="13"/>
  <c r="G15" s="1"/>
  <c r="D46" i="1" s="1"/>
  <c r="F13" i="13"/>
  <c r="F15" s="1"/>
  <c r="F14"/>
  <c r="F16" s="1"/>
  <c r="E37" i="4"/>
  <c r="E39" s="1"/>
  <c r="E41" s="1"/>
  <c r="E43" s="1"/>
  <c r="C23" i="1" s="1"/>
  <c r="D53" i="4"/>
  <c r="G46" i="8"/>
  <c r="G50" s="1"/>
  <c r="G49"/>
  <c r="G32"/>
  <c r="G60"/>
  <c r="G62" s="1"/>
  <c r="E19" i="12"/>
  <c r="E25" s="1"/>
  <c r="E20"/>
  <c r="E26" s="1"/>
  <c r="F39" i="4"/>
  <c r="F41" s="1"/>
  <c r="F43" s="1"/>
  <c r="D23" i="1" s="1"/>
  <c r="E28" i="5"/>
  <c r="E33" s="1"/>
  <c r="D26" i="1" s="1"/>
  <c r="E26" i="5"/>
  <c r="E31" s="1"/>
  <c r="D29" i="1" s="1"/>
  <c r="I39" i="4"/>
  <c r="I41" s="1"/>
  <c r="I43" s="1"/>
  <c r="H39"/>
  <c r="H41" s="1"/>
  <c r="H43" s="1"/>
  <c r="H20" i="12"/>
  <c r="H26" s="1"/>
  <c r="H19"/>
  <c r="H25" s="1"/>
  <c r="F41" i="1" s="1"/>
  <c r="E24" i="7"/>
  <c r="G24"/>
  <c r="D24"/>
  <c r="F24"/>
  <c r="C36" i="1"/>
  <c r="H36" s="1"/>
  <c r="F19" i="12"/>
  <c r="F25" s="1"/>
  <c r="D41" i="1" s="1"/>
  <c r="F20" i="12"/>
  <c r="F26" s="1"/>
  <c r="G28" i="5"/>
  <c r="G33" s="1"/>
  <c r="F26" i="1" s="1"/>
  <c r="G26" i="5"/>
  <c r="G31" s="1"/>
  <c r="F29" i="1" s="1"/>
  <c r="G39" i="4"/>
  <c r="G41" s="1"/>
  <c r="G43" s="1"/>
  <c r="E31" i="9"/>
  <c r="E37" s="1"/>
  <c r="D37" s="1"/>
  <c r="C20" i="1"/>
  <c r="D22" i="3"/>
  <c r="C11" i="1"/>
  <c r="D21" i="12"/>
  <c r="C40" i="1"/>
  <c r="H40" s="1"/>
  <c r="I20" i="12"/>
  <c r="I26" s="1"/>
  <c r="I19"/>
  <c r="I25" s="1"/>
  <c r="G41" i="1" s="1"/>
  <c r="E20"/>
  <c r="F33" i="5"/>
  <c r="E26" i="1" s="1"/>
  <c r="F26" i="5"/>
  <c r="F31" s="1"/>
  <c r="E29" i="1" s="1"/>
  <c r="E126" i="13"/>
  <c r="C61" i="1"/>
  <c r="H61" s="1"/>
  <c r="D26" i="5"/>
  <c r="D31" s="1"/>
  <c r="G20" i="1"/>
  <c r="G22" i="3"/>
  <c r="H26" i="5"/>
  <c r="H31" s="1"/>
  <c r="G29" i="1" s="1"/>
  <c r="H28" i="5"/>
  <c r="H33" s="1"/>
  <c r="G26" i="1" s="1"/>
  <c r="G20" i="12"/>
  <c r="G26" s="1"/>
  <c r="G19"/>
  <c r="G25" s="1"/>
  <c r="E41" i="1" s="1"/>
  <c r="H32" i="8"/>
  <c r="H60"/>
  <c r="H62" s="1"/>
  <c r="C24" i="7"/>
  <c r="F78" i="13"/>
  <c r="F80" s="1"/>
  <c r="J32" i="8"/>
  <c r="J64" s="1"/>
  <c r="I78" i="13"/>
  <c r="I80" s="1"/>
  <c r="F55" i="1" s="1"/>
  <c r="F20" l="1"/>
  <c r="H56"/>
  <c r="C35"/>
  <c r="H35" s="1"/>
  <c r="E59" i="13"/>
  <c r="E79"/>
  <c r="H13" i="1"/>
  <c r="H11"/>
  <c r="E33" i="8"/>
  <c r="E34"/>
  <c r="H64"/>
  <c r="H52" i="1"/>
  <c r="F64" i="8"/>
  <c r="G64"/>
  <c r="C45" i="1"/>
  <c r="H45" s="1"/>
  <c r="E16" i="13"/>
  <c r="E50" i="8"/>
  <c r="C46" i="1"/>
  <c r="H46" s="1"/>
  <c r="E15" i="13"/>
  <c r="H147"/>
  <c r="H20" s="1"/>
  <c r="E23" i="1"/>
  <c r="H73" i="8"/>
  <c r="F51" i="9"/>
  <c r="F147" i="13"/>
  <c r="F20" s="1"/>
  <c r="D43" i="4"/>
  <c r="D51" i="9"/>
  <c r="F73" i="8"/>
  <c r="C33" i="5"/>
  <c r="H26" i="1"/>
  <c r="C22" i="3"/>
  <c r="H20" i="1"/>
  <c r="D38" i="9"/>
  <c r="B22" i="3" s="1"/>
  <c r="G153" i="13"/>
  <c r="G80" i="8"/>
  <c r="D64" i="1"/>
  <c r="H153" i="13"/>
  <c r="H80" i="8"/>
  <c r="E64" i="1"/>
  <c r="D25" i="12"/>
  <c r="C41" i="1"/>
  <c r="H41" s="1"/>
  <c r="E80" i="13"/>
  <c r="C55" i="1"/>
  <c r="H55" s="1"/>
  <c r="F153" i="13"/>
  <c r="F80" i="8"/>
  <c r="C64" i="1"/>
  <c r="B24" i="7"/>
  <c r="C29" i="1"/>
  <c r="H29" s="1"/>
  <c r="C31" i="5"/>
  <c r="I153" i="13"/>
  <c r="I80" i="8"/>
  <c r="F64" i="1"/>
  <c r="J153" i="13"/>
  <c r="J80" i="8"/>
  <c r="G64" i="1"/>
  <c r="I147" i="13"/>
  <c r="I20" s="1"/>
  <c r="F23" i="1"/>
  <c r="G51" i="9"/>
  <c r="I73" i="8"/>
  <c r="J147" i="13"/>
  <c r="J20" s="1"/>
  <c r="G23" i="1"/>
  <c r="J73" i="8"/>
  <c r="H51" i="9"/>
  <c r="G147" i="13"/>
  <c r="G20" s="1"/>
  <c r="G73" i="8"/>
  <c r="E51" i="9"/>
  <c r="D26" i="12"/>
  <c r="F37" i="13" l="1"/>
  <c r="F88"/>
  <c r="H37"/>
  <c r="H88"/>
  <c r="G37"/>
  <c r="G88"/>
  <c r="J37"/>
  <c r="J88"/>
  <c r="I37"/>
  <c r="I88"/>
  <c r="G45"/>
  <c r="G53" s="1"/>
  <c r="G58" s="1"/>
  <c r="D50" i="1" s="1"/>
  <c r="G94" i="13"/>
  <c r="J45"/>
  <c r="J53" s="1"/>
  <c r="J58" s="1"/>
  <c r="G50" i="1" s="1"/>
  <c r="J94" i="13"/>
  <c r="I45"/>
  <c r="I53" s="1"/>
  <c r="I58" s="1"/>
  <c r="F50" i="1" s="1"/>
  <c r="I94" i="13"/>
  <c r="F45"/>
  <c r="F53" s="1"/>
  <c r="F58" s="1"/>
  <c r="C50" i="1" s="1"/>
  <c r="F94" i="13"/>
  <c r="H45"/>
  <c r="H53" s="1"/>
  <c r="H58" s="1"/>
  <c r="E50" i="1" s="1"/>
  <c r="H94" i="13"/>
  <c r="G21"/>
  <c r="G87"/>
  <c r="G28"/>
  <c r="G52" s="1"/>
  <c r="G57" s="1"/>
  <c r="D51" i="1" s="1"/>
  <c r="G107" i="13"/>
  <c r="G95"/>
  <c r="G84"/>
  <c r="J28"/>
  <c r="J52" s="1"/>
  <c r="J57" s="1"/>
  <c r="G51" i="1" s="1"/>
  <c r="J21" i="13"/>
  <c r="J107"/>
  <c r="J87"/>
  <c r="J95"/>
  <c r="J84"/>
  <c r="I87"/>
  <c r="I114" s="1"/>
  <c r="I124" s="1"/>
  <c r="F59" i="1" s="1"/>
  <c r="I28" i="13"/>
  <c r="I52" s="1"/>
  <c r="I57" s="1"/>
  <c r="F51" i="1" s="1"/>
  <c r="I21" i="13"/>
  <c r="I107"/>
  <c r="I95"/>
  <c r="I84"/>
  <c r="I104"/>
  <c r="I119" s="1"/>
  <c r="I129" s="1"/>
  <c r="I97"/>
  <c r="I118" s="1"/>
  <c r="I128" s="1"/>
  <c r="F104"/>
  <c r="F119" s="1"/>
  <c r="F129" s="1"/>
  <c r="F97"/>
  <c r="F118" s="1"/>
  <c r="F128" s="1"/>
  <c r="E153"/>
  <c r="G104"/>
  <c r="G119" s="1"/>
  <c r="G129" s="1"/>
  <c r="G97"/>
  <c r="F21"/>
  <c r="F107"/>
  <c r="F87"/>
  <c r="F28"/>
  <c r="F52" s="1"/>
  <c r="F57" s="1"/>
  <c r="F95"/>
  <c r="F84"/>
  <c r="E147"/>
  <c r="H21"/>
  <c r="H107"/>
  <c r="H87"/>
  <c r="H28"/>
  <c r="H52" s="1"/>
  <c r="H57" s="1"/>
  <c r="E51" i="1" s="1"/>
  <c r="H95" i="13"/>
  <c r="H84"/>
  <c r="J104"/>
  <c r="J119" s="1"/>
  <c r="J129" s="1"/>
  <c r="J97"/>
  <c r="J118" s="1"/>
  <c r="J128" s="1"/>
  <c r="H104"/>
  <c r="H119" s="1"/>
  <c r="H129" s="1"/>
  <c r="H97"/>
  <c r="H118" s="1"/>
  <c r="H128" s="1"/>
  <c r="H64" i="1"/>
  <c r="E73" i="8"/>
  <c r="C51" i="9"/>
  <c r="E80" i="8"/>
  <c r="H23" i="1"/>
  <c r="F114" i="13" l="1"/>
  <c r="F124" s="1"/>
  <c r="C59" i="1" s="1"/>
  <c r="H59" s="1"/>
  <c r="J114" i="13"/>
  <c r="J124" s="1"/>
  <c r="G59" i="1" s="1"/>
  <c r="G114" i="13"/>
  <c r="G124" s="1"/>
  <c r="D59" i="1" s="1"/>
  <c r="G118" i="13"/>
  <c r="G128" s="1"/>
  <c r="E128" s="1"/>
  <c r="E129"/>
  <c r="E58"/>
  <c r="H114"/>
  <c r="H124" s="1"/>
  <c r="E59" i="1" s="1"/>
  <c r="H50"/>
  <c r="F120" i="13"/>
  <c r="F130" s="1"/>
  <c r="J120"/>
  <c r="J130" s="1"/>
  <c r="G60" i="1" s="1"/>
  <c r="H120" i="13"/>
  <c r="H130" s="1"/>
  <c r="E60" i="1" s="1"/>
  <c r="I120" i="13"/>
  <c r="I130" s="1"/>
  <c r="F60" i="1" s="1"/>
  <c r="G120" i="13"/>
  <c r="G130" s="1"/>
  <c r="D60" i="1" s="1"/>
  <c r="H121" i="13"/>
  <c r="H112"/>
  <c r="H122" s="1"/>
  <c r="E58" i="1" s="1"/>
  <c r="E57" i="13"/>
  <c r="C51" i="1"/>
  <c r="H51" s="1"/>
  <c r="I112" i="13"/>
  <c r="I122" s="1"/>
  <c r="F58" i="1" s="1"/>
  <c r="I121" i="13"/>
  <c r="G112"/>
  <c r="G122" s="1"/>
  <c r="D58" i="1" s="1"/>
  <c r="G121" i="13"/>
  <c r="J117"/>
  <c r="J127" s="1"/>
  <c r="G62" i="1" s="1"/>
  <c r="G55" i="13"/>
  <c r="F112"/>
  <c r="F122" s="1"/>
  <c r="F121"/>
  <c r="F24" i="9"/>
  <c r="G24"/>
  <c r="G22"/>
  <c r="I23"/>
  <c r="I25"/>
  <c r="D25"/>
  <c r="D22"/>
  <c r="F25"/>
  <c r="H22"/>
  <c r="H25"/>
  <c r="D23"/>
  <c r="F23"/>
  <c r="I24"/>
  <c r="E24"/>
  <c r="I22"/>
  <c r="E25"/>
  <c r="E22"/>
  <c r="G25"/>
  <c r="E23"/>
  <c r="H23"/>
  <c r="G23"/>
  <c r="D24"/>
  <c r="F22"/>
  <c r="H24"/>
  <c r="J112" i="13"/>
  <c r="J122" s="1"/>
  <c r="G58" i="1" s="1"/>
  <c r="J121" i="13"/>
  <c r="H117"/>
  <c r="H127" s="1"/>
  <c r="E62" i="1" s="1"/>
  <c r="H55" i="13"/>
  <c r="F117"/>
  <c r="F127" s="1"/>
  <c r="F55"/>
  <c r="I117"/>
  <c r="I127" s="1"/>
  <c r="F62" i="1" s="1"/>
  <c r="I55" i="13"/>
  <c r="J55"/>
  <c r="G117"/>
  <c r="G127" s="1"/>
  <c r="D62" i="1" s="1"/>
  <c r="E124" i="13" l="1"/>
  <c r="E130"/>
  <c r="C60" i="1"/>
  <c r="H60" s="1"/>
  <c r="J60" i="13"/>
  <c r="G47" i="1" s="1"/>
  <c r="J67" i="13"/>
  <c r="J68" s="1"/>
  <c r="G43" i="1" s="1"/>
  <c r="E127" i="13"/>
  <c r="C62" i="1"/>
  <c r="H62" s="1"/>
  <c r="E122" i="13"/>
  <c r="C58" i="1"/>
  <c r="H58" s="1"/>
  <c r="H131" i="13"/>
  <c r="E57" i="1" s="1"/>
  <c r="H137" i="13"/>
  <c r="H138" s="1"/>
  <c r="E53" i="1" s="1"/>
  <c r="I60" i="13"/>
  <c r="F47" i="1" s="1"/>
  <c r="I67" i="13"/>
  <c r="I68" s="1"/>
  <c r="F43" i="1" s="1"/>
  <c r="F60" i="13"/>
  <c r="F67"/>
  <c r="F68" s="1"/>
  <c r="H60"/>
  <c r="E47" i="1" s="1"/>
  <c r="H67" i="13"/>
  <c r="H68" s="1"/>
  <c r="E43" i="1" s="1"/>
  <c r="J131" i="13"/>
  <c r="G57" i="1" s="1"/>
  <c r="J137" i="13"/>
  <c r="J138" s="1"/>
  <c r="G53" i="1" s="1"/>
  <c r="F131" i="13"/>
  <c r="F137"/>
  <c r="F138" s="1"/>
  <c r="G60"/>
  <c r="D47" i="1" s="1"/>
  <c r="G67" i="13"/>
  <c r="G68" s="1"/>
  <c r="D43" i="1" s="1"/>
  <c r="G137" i="13"/>
  <c r="G138" s="1"/>
  <c r="D53" i="1" s="1"/>
  <c r="G131" i="13"/>
  <c r="D57" i="1" s="1"/>
  <c r="I137" i="13"/>
  <c r="I138" s="1"/>
  <c r="F53" i="1" s="1"/>
  <c r="I131" i="13"/>
  <c r="F57" i="1" s="1"/>
  <c r="E131" i="13" l="1"/>
  <c r="C57" i="1"/>
  <c r="H57" s="1"/>
  <c r="E60" i="13"/>
  <c r="C47" i="1"/>
  <c r="E138" i="13"/>
  <c r="C53" i="1"/>
  <c r="H53" s="1"/>
  <c r="E68" i="13"/>
  <c r="C43" i="1"/>
  <c r="H43" s="1"/>
</calcChain>
</file>

<file path=xl/sharedStrings.xml><?xml version="1.0" encoding="utf-8"?>
<sst xmlns="http://schemas.openxmlformats.org/spreadsheetml/2006/main" count="928" uniqueCount="304">
  <si>
    <t>Schedule M Deductions - Permanent</t>
  </si>
  <si>
    <t>Schedule M Deductions - Temporary</t>
  </si>
  <si>
    <t>Transmission / Distribution</t>
  </si>
  <si>
    <t>182M</t>
  </si>
  <si>
    <t>186M</t>
  </si>
  <si>
    <t>PITA</t>
  </si>
  <si>
    <t>TROJP</t>
  </si>
  <si>
    <t>SNP</t>
  </si>
  <si>
    <t>BADDEBT</t>
  </si>
  <si>
    <t>GPS</t>
  </si>
  <si>
    <t>SCHMDEXP</t>
  </si>
  <si>
    <t>SNPD</t>
  </si>
  <si>
    <t>SITUS</t>
  </si>
  <si>
    <t>G-SG Factor</t>
  </si>
  <si>
    <t>G-SITUS</t>
  </si>
  <si>
    <t>General Plant - SITUS Factor</t>
  </si>
  <si>
    <t>I-DGP FACTOR</t>
  </si>
  <si>
    <t>I-DGU FACTOR</t>
  </si>
  <si>
    <t>I-SG FACTOR</t>
  </si>
  <si>
    <t>I-Situs FACTOR</t>
  </si>
  <si>
    <t>I-SITUS</t>
  </si>
  <si>
    <t>Intangible Plant - SITUS Factor</t>
  </si>
  <si>
    <t>SCHMAP-SO</t>
  </si>
  <si>
    <t>Schedule M Additions - Permanent-SO</t>
  </si>
  <si>
    <t>SCHMAT-GPS</t>
  </si>
  <si>
    <t>Schedule M Additions - Temporary-GPS</t>
  </si>
  <si>
    <t>SCHMAT-SE</t>
  </si>
  <si>
    <t>Schedule M Additions - Temporary-SE</t>
  </si>
  <si>
    <t>SCHMAT-SNP</t>
  </si>
  <si>
    <t>Schedule M Additions - Temporary-SNP</t>
  </si>
  <si>
    <t>SCHMAT-SO</t>
  </si>
  <si>
    <t>Schedule M Additions - Temporary-SO</t>
  </si>
  <si>
    <t>SCHMAT-SITUS</t>
  </si>
  <si>
    <t>Schedule M Additions - Temporary-SITUS</t>
  </si>
  <si>
    <t>SCHMDP-SO</t>
  </si>
  <si>
    <t>Schedule M Deductions - Permanent- SO</t>
  </si>
  <si>
    <t>SCHMDT-GPS</t>
  </si>
  <si>
    <t>Schedule M Deductions - Temporary-GPS</t>
  </si>
  <si>
    <t>SCHMDT-SG</t>
  </si>
  <si>
    <t>Schedule M Deductions - Temporary-SG</t>
  </si>
  <si>
    <t>SCHMDT-SNP</t>
  </si>
  <si>
    <t>Schedule M Deductions - Temporary-SNP</t>
  </si>
  <si>
    <t>SCHMDT-SO</t>
  </si>
  <si>
    <t>Schedule M Deductions - Temporary-SO</t>
  </si>
  <si>
    <t>SCHMDT-SITUS</t>
  </si>
  <si>
    <t>Schedule M Deductions - Temporary-SITUS</t>
  </si>
  <si>
    <t>Major Adjustment</t>
  </si>
  <si>
    <t>1998 Early Retirement</t>
  </si>
  <si>
    <t>1999 Early Retirement</t>
  </si>
  <si>
    <t>Transition Planning</t>
  </si>
  <si>
    <t>Environmental Clean-up</t>
  </si>
  <si>
    <t>Y2K</t>
  </si>
  <si>
    <t>Subtotal Major Adjustments</t>
  </si>
  <si>
    <t>Total 186M SO</t>
  </si>
  <si>
    <t>OTHSITUS</t>
  </si>
  <si>
    <t>Other Revenues - SITUS</t>
  </si>
  <si>
    <t>SCHMAF FACTOR</t>
  </si>
  <si>
    <t>Total CN Revenues</t>
  </si>
  <si>
    <t>COM_EQ</t>
  </si>
  <si>
    <t>Communication Equipment Acct 397</t>
  </si>
  <si>
    <t>Production</t>
  </si>
  <si>
    <t>Transmission</t>
  </si>
  <si>
    <t>Distribution</t>
  </si>
  <si>
    <t>General</t>
  </si>
  <si>
    <t>P</t>
  </si>
  <si>
    <t>T</t>
  </si>
  <si>
    <t>DPW</t>
  </si>
  <si>
    <t>G</t>
  </si>
  <si>
    <t>Total</t>
  </si>
  <si>
    <t>CUST</t>
  </si>
  <si>
    <t>DMSC</t>
  </si>
  <si>
    <t>Account 456</t>
  </si>
  <si>
    <t>Main</t>
  </si>
  <si>
    <t>Primary</t>
  </si>
  <si>
    <t>Account</t>
  </si>
  <si>
    <t>Factor</t>
  </si>
  <si>
    <t>Function</t>
  </si>
  <si>
    <t>Amount</t>
  </si>
  <si>
    <t>456</t>
  </si>
  <si>
    <t>Total Situs Revenues</t>
  </si>
  <si>
    <t>CN</t>
  </si>
  <si>
    <t>SE</t>
  </si>
  <si>
    <t>Total SE Revenues</t>
  </si>
  <si>
    <t>SG</t>
  </si>
  <si>
    <t>Total SG Revenues</t>
  </si>
  <si>
    <t>SO</t>
  </si>
  <si>
    <t>Total Gen. Plant</t>
  </si>
  <si>
    <t xml:space="preserve">Total </t>
  </si>
  <si>
    <t>PTD</t>
  </si>
  <si>
    <t>Total SO Revenues</t>
  </si>
  <si>
    <t>Book Depreciation</t>
  </si>
  <si>
    <t>Description</t>
  </si>
  <si>
    <t>TD</t>
  </si>
  <si>
    <t>BookDepr Factor</t>
  </si>
  <si>
    <t>Pri-Acct</t>
  </si>
  <si>
    <t>SGCT</t>
  </si>
  <si>
    <t>ESD</t>
  </si>
  <si>
    <t>DDSO2 FACTOR</t>
  </si>
  <si>
    <t>LABOR</t>
  </si>
  <si>
    <t>DDS2 FACTOR</t>
  </si>
  <si>
    <t>DGP</t>
  </si>
  <si>
    <t>DDS6 FACTOR</t>
  </si>
  <si>
    <t>DEFSG FACTOR</t>
  </si>
  <si>
    <t>Poles &amp; Wires</t>
  </si>
  <si>
    <t>Customers</t>
  </si>
  <si>
    <t>Miscellaneous</t>
  </si>
  <si>
    <t>GP</t>
  </si>
  <si>
    <t>TAXDEPR</t>
  </si>
  <si>
    <t>PacifiCorp</t>
  </si>
  <si>
    <t>CUSTOMER</t>
  </si>
  <si>
    <t>LABOR %</t>
  </si>
  <si>
    <t>Material &amp; Supplies</t>
  </si>
  <si>
    <t>Material &amp; Supplies %</t>
  </si>
  <si>
    <t>FERC</t>
  </si>
  <si>
    <t>FERC %</t>
  </si>
  <si>
    <t>Alloc.</t>
  </si>
  <si>
    <t>Funct.</t>
  </si>
  <si>
    <t>Transmisssion</t>
  </si>
  <si>
    <t>DMISC</t>
  </si>
  <si>
    <t>Business Centers</t>
  </si>
  <si>
    <t>Utah Mine</t>
  </si>
  <si>
    <t>General Plant</t>
  </si>
  <si>
    <t>SO Factor</t>
  </si>
  <si>
    <t>Total General Plant</t>
  </si>
  <si>
    <t>G Allocator</t>
  </si>
  <si>
    <t>Functional Allocators:</t>
  </si>
  <si>
    <t>Prod</t>
  </si>
  <si>
    <t>Trans</t>
  </si>
  <si>
    <t>Production Plant</t>
  </si>
  <si>
    <t>Transmission Plant</t>
  </si>
  <si>
    <t>Distribution Plant</t>
  </si>
  <si>
    <t>Mining</t>
  </si>
  <si>
    <t>Intangible Plant</t>
  </si>
  <si>
    <t>Customer Service Sys</t>
  </si>
  <si>
    <t>Washington Hydro</t>
  </si>
  <si>
    <t>Utah Hydro</t>
  </si>
  <si>
    <t>Colorado Steam-UPD</t>
  </si>
  <si>
    <t>Oregon Trans</t>
  </si>
  <si>
    <t>Utah</t>
  </si>
  <si>
    <t>Utah G/O</t>
  </si>
  <si>
    <t>Total Intangible Plant</t>
  </si>
  <si>
    <t>Total Gross Plant</t>
  </si>
  <si>
    <t>GP Factor</t>
  </si>
  <si>
    <t>Customer</t>
  </si>
  <si>
    <t>SCHMAP</t>
  </si>
  <si>
    <t>Total SCHMAP</t>
  </si>
  <si>
    <t>SCHMAP FACTOR</t>
  </si>
  <si>
    <t>SCHMAT</t>
  </si>
  <si>
    <t>CIAC</t>
  </si>
  <si>
    <t>SCHMAT FACTOR</t>
  </si>
  <si>
    <t>SCHMAF</t>
  </si>
  <si>
    <t>SCHMA FACTOR</t>
  </si>
  <si>
    <t>SCHMDP</t>
  </si>
  <si>
    <t>SCHMDP FACTOR</t>
  </si>
  <si>
    <t>SCHMDT</t>
  </si>
  <si>
    <t>Total SCHMDT</t>
  </si>
  <si>
    <t>SCHMDT FACTOR</t>
  </si>
  <si>
    <t>SCHMDF</t>
  </si>
  <si>
    <t>SCHMDF FACTOR</t>
  </si>
  <si>
    <t>SCHMD FACTOR</t>
  </si>
  <si>
    <t>Net SCHM</t>
  </si>
  <si>
    <t>TAXDEPR Factor</t>
  </si>
  <si>
    <t>FERC FORM 1 Funtionalization Factors</t>
  </si>
  <si>
    <t>PLANT</t>
  </si>
  <si>
    <t>UNCLASSIFIED PLANT</t>
  </si>
  <si>
    <t>TOTAL PLANT</t>
  </si>
  <si>
    <t>PLANT %</t>
  </si>
  <si>
    <t>PT</t>
  </si>
  <si>
    <t>BOOKDEPR</t>
  </si>
  <si>
    <t>Distribution Retail</t>
  </si>
  <si>
    <t>DDS2</t>
  </si>
  <si>
    <t>Deferred Debits - Situs</t>
  </si>
  <si>
    <t>DDS6</t>
  </si>
  <si>
    <t>DDSO2</t>
  </si>
  <si>
    <t>Deferred Debits - System Overhead</t>
  </si>
  <si>
    <t>DDSO6</t>
  </si>
  <si>
    <t>DEFSG</t>
  </si>
  <si>
    <t>Deferred Debit - System Generation</t>
  </si>
  <si>
    <t>Distribution Miscellaneous</t>
  </si>
  <si>
    <t>Distribution Poles &amp; Wires</t>
  </si>
  <si>
    <t>Environmental Services Department</t>
  </si>
  <si>
    <t>FERC Fees</t>
  </si>
  <si>
    <t>G-DGP</t>
  </si>
  <si>
    <t>General Plant - DGP Factor</t>
  </si>
  <si>
    <t>G-DGU</t>
  </si>
  <si>
    <t>General Plant - DGU Factor</t>
  </si>
  <si>
    <t>Total Plant</t>
  </si>
  <si>
    <t>G-SG</t>
  </si>
  <si>
    <t>General Plant - SG Factor</t>
  </si>
  <si>
    <t>I</t>
  </si>
  <si>
    <t>I-DGP</t>
  </si>
  <si>
    <t>Intangible Plant - DGP Factor</t>
  </si>
  <si>
    <t>I-DGU</t>
  </si>
  <si>
    <t>Intangible Plant - DGU Factor</t>
  </si>
  <si>
    <t>I-SG</t>
  </si>
  <si>
    <t>Intangible Plant - SG Factor</t>
  </si>
  <si>
    <t>Direct Labor Expense</t>
  </si>
  <si>
    <t>MSS</t>
  </si>
  <si>
    <t>Materials &amp; Supplies</t>
  </si>
  <si>
    <t>NONE</t>
  </si>
  <si>
    <t>Not Functionalized</t>
  </si>
  <si>
    <t>NUTIL</t>
  </si>
  <si>
    <t>Non-Utility</t>
  </si>
  <si>
    <t>OTHDGP</t>
  </si>
  <si>
    <t>Other Revenues - DGP Factor</t>
  </si>
  <si>
    <t>OTHDGU</t>
  </si>
  <si>
    <t>Other Revenues - DGU Factor</t>
  </si>
  <si>
    <t>OTHSE</t>
  </si>
  <si>
    <t>Other Revenues - SE Factor</t>
  </si>
  <si>
    <t>OTHSG</t>
  </si>
  <si>
    <t>Other Revenues - SG Factor</t>
  </si>
  <si>
    <t>OTHSGR</t>
  </si>
  <si>
    <t>Other Revenues - Rolled-In SG Factor</t>
  </si>
  <si>
    <t>OTHSO</t>
  </si>
  <si>
    <t>Other Revenues - SO Factor</t>
  </si>
  <si>
    <t>SCHMA</t>
  </si>
  <si>
    <t>Schedule M Additions</t>
  </si>
  <si>
    <t>Schedule M Additions - Flow Through</t>
  </si>
  <si>
    <t>Schedule M Additions - Permanent</t>
  </si>
  <si>
    <t>Schedule M Additions - Temporary</t>
  </si>
  <si>
    <t>SCHMD</t>
  </si>
  <si>
    <t>Schedule M Deductions</t>
  </si>
  <si>
    <t>Schedule M Deductions - Flow Through</t>
  </si>
  <si>
    <t>Retail</t>
  </si>
  <si>
    <t>Misc</t>
  </si>
  <si>
    <t>acct 399 from JAM</t>
  </si>
  <si>
    <t xml:space="preserve">TAXDEPR </t>
  </si>
  <si>
    <t xml:space="preserve">FUNCTIONAL FACTORS </t>
  </si>
  <si>
    <t>Gross Plant</t>
  </si>
  <si>
    <t xml:space="preserve">Tax Depreciation </t>
  </si>
  <si>
    <t>Schedule M</t>
  </si>
  <si>
    <t>FERC (mWh)</t>
  </si>
  <si>
    <t>SSGCH</t>
  </si>
  <si>
    <t>DEDUCTIONS</t>
  </si>
  <si>
    <t>ADDITIONS</t>
  </si>
  <si>
    <t>Depreciation Expense</t>
  </si>
  <si>
    <t>TROJD</t>
  </si>
  <si>
    <t>(In 000's)</t>
  </si>
  <si>
    <t>Tax Depreciation</t>
  </si>
  <si>
    <t>Pro</t>
  </si>
  <si>
    <t>Trn</t>
  </si>
  <si>
    <t>Dis</t>
  </si>
  <si>
    <t>Conversion to COS Functions</t>
  </si>
  <si>
    <t>Percent of GenPlant in Functions</t>
  </si>
  <si>
    <t>use "Total Plant" variable)</t>
  </si>
  <si>
    <t>Allocation of GenPlant to Functions</t>
  </si>
  <si>
    <t>Assignment of Mining to Prod Function</t>
  </si>
  <si>
    <t>Adjusted Totals</t>
  </si>
  <si>
    <t>TAXDEPR FACTOR</t>
  </si>
  <si>
    <t>SSGCT</t>
  </si>
  <si>
    <t>RETAIL</t>
  </si>
  <si>
    <t>Total-SO</t>
  </si>
  <si>
    <t>Total-SCHMAT</t>
  </si>
  <si>
    <t>Total-GPS</t>
  </si>
  <si>
    <t>Total-SNP</t>
  </si>
  <si>
    <t>Total SO</t>
  </si>
  <si>
    <t>Total-SITUS</t>
  </si>
  <si>
    <t>Total-SCHMAF</t>
  </si>
  <si>
    <t>Total-SCHMA</t>
  </si>
  <si>
    <t>Total-SG</t>
  </si>
  <si>
    <t>Total-SCHMDP</t>
  </si>
  <si>
    <t>Total-SCHMDF</t>
  </si>
  <si>
    <t>Total-SCHMD</t>
  </si>
  <si>
    <t>SG-P</t>
  </si>
  <si>
    <t>Total SITUS</t>
  </si>
  <si>
    <t>Total SG</t>
  </si>
  <si>
    <t>Total 182 &amp;186</t>
  </si>
  <si>
    <t>Total-DD</t>
  </si>
  <si>
    <t>Total RA</t>
  </si>
  <si>
    <t>I FACTOR</t>
  </si>
  <si>
    <t>Total-DGP</t>
  </si>
  <si>
    <t>Total-DGU</t>
  </si>
  <si>
    <t>Total-Intangible</t>
  </si>
  <si>
    <t>Total-SSGCH</t>
  </si>
  <si>
    <t>Total-SSGCT</t>
  </si>
  <si>
    <t>Total-G-SG</t>
  </si>
  <si>
    <t>Total-G-Situs</t>
  </si>
  <si>
    <t>Total-General Plant</t>
  </si>
  <si>
    <t>CN Factor</t>
  </si>
  <si>
    <t>Total Operation</t>
  </si>
  <si>
    <t>Total Operation Factor</t>
  </si>
  <si>
    <t>Total-DPW</t>
  </si>
  <si>
    <t>Total-PTD</t>
  </si>
  <si>
    <t>Total-TD</t>
  </si>
  <si>
    <t>Total-CUST</t>
  </si>
  <si>
    <t>G-SITUS Factor</t>
  </si>
  <si>
    <t>DDSO6 FACTOR</t>
  </si>
  <si>
    <t>Total-SE</t>
  </si>
  <si>
    <t>OTHER</t>
  </si>
  <si>
    <t>Total-CN</t>
  </si>
  <si>
    <t>SCHMDT-CN</t>
  </si>
  <si>
    <t>SCHMDT-SE</t>
  </si>
  <si>
    <t>Total OTHER</t>
  </si>
  <si>
    <t>SCHMDT-OTHER</t>
  </si>
  <si>
    <t>Total TAXDEPR</t>
  </si>
  <si>
    <t>SCHMDT-TAXDEPR</t>
  </si>
  <si>
    <t>Total-OTHER</t>
  </si>
  <si>
    <t>Reg Assets / Deferred Debits</t>
  </si>
  <si>
    <t>Source: Ferc Form 1 (Dec 2011) - pg. 354</t>
  </si>
  <si>
    <t>.</t>
  </si>
  <si>
    <t>12 Months Ended June 2013</t>
  </si>
  <si>
    <t xml:space="preserve"> (%'s developed in JAM June 2013 - </t>
  </si>
  <si>
    <t>Source: FERC reporting requirment No. 582</t>
  </si>
  <si>
    <t>Source: Ferc Form 1 (Dec 2011) - pg. 227</t>
  </si>
</sst>
</file>

<file path=xl/styles.xml><?xml version="1.0" encoding="utf-8"?>
<styleSheet xmlns="http://schemas.openxmlformats.org/spreadsheetml/2006/main">
  <numFmts count="9">
    <numFmt numFmtId="8" formatCode="&quot;$&quot;#,##0.00_);[Red]\(&quot;$&quot;#,##0.00\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&quot;$&quot;#,##0"/>
    <numFmt numFmtId="167" formatCode="_(* #,##0.00000_);_(* \(#,##0.00000\);_(* &quot;-&quot;??_);_(@_)"/>
    <numFmt numFmtId="168" formatCode="_(* #,##0.000000_);_(* \(#,##0.000000\);_(* &quot;-&quot;??_);_(@_)"/>
    <numFmt numFmtId="169" formatCode="[$$-409]#,##0.00_);\([$$-409]#,##0.00\)"/>
    <numFmt numFmtId="170" formatCode="[$-409]mmm\-yy;@"/>
  </numFmts>
  <fonts count="4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MT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 MT"/>
    </font>
    <font>
      <b/>
      <i/>
      <sz val="10"/>
      <color indexed="14"/>
      <name val="Arial"/>
      <family val="2"/>
    </font>
    <font>
      <b/>
      <u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i/>
      <sz val="10"/>
      <color rgb="FF0000FF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4" fontId="12" fillId="2" borderId="1" applyNumberFormat="0" applyProtection="0">
      <alignment vertical="center"/>
    </xf>
    <xf numFmtId="4" fontId="26" fillId="3" borderId="1" applyNumberFormat="0" applyProtection="0">
      <alignment vertical="center"/>
    </xf>
    <xf numFmtId="4" fontId="12" fillId="3" borderId="1" applyNumberFormat="0" applyProtection="0">
      <alignment horizontal="left" vertical="center" indent="1"/>
    </xf>
    <xf numFmtId="0" fontId="12" fillId="3" borderId="1" applyNumberFormat="0" applyProtection="0">
      <alignment horizontal="left" vertical="top" indent="1"/>
    </xf>
    <xf numFmtId="4" fontId="12" fillId="4" borderId="1" applyNumberFormat="0" applyProtection="0"/>
    <xf numFmtId="4" fontId="8" fillId="5" borderId="1" applyNumberFormat="0" applyProtection="0">
      <alignment horizontal="right" vertical="center"/>
    </xf>
    <xf numFmtId="4" fontId="8" fillId="6" borderId="1" applyNumberFormat="0" applyProtection="0">
      <alignment horizontal="right" vertical="center"/>
    </xf>
    <xf numFmtId="4" fontId="8" fillId="7" borderId="1" applyNumberFormat="0" applyProtection="0">
      <alignment horizontal="right" vertical="center"/>
    </xf>
    <xf numFmtId="4" fontId="8" fillId="8" borderId="1" applyNumberFormat="0" applyProtection="0">
      <alignment horizontal="right" vertical="center"/>
    </xf>
    <xf numFmtId="4" fontId="8" fillId="9" borderId="1" applyNumberFormat="0" applyProtection="0">
      <alignment horizontal="right" vertical="center"/>
    </xf>
    <xf numFmtId="4" fontId="8" fillId="10" borderId="1" applyNumberFormat="0" applyProtection="0">
      <alignment horizontal="right" vertical="center"/>
    </xf>
    <xf numFmtId="4" fontId="8" fillId="11" borderId="1" applyNumberFormat="0" applyProtection="0">
      <alignment horizontal="right" vertical="center"/>
    </xf>
    <xf numFmtId="4" fontId="8" fillId="12" borderId="1" applyNumberFormat="0" applyProtection="0">
      <alignment horizontal="right" vertical="center"/>
    </xf>
    <xf numFmtId="4" fontId="8" fillId="13" borderId="1" applyNumberFormat="0" applyProtection="0">
      <alignment horizontal="right" vertical="center"/>
    </xf>
    <xf numFmtId="4" fontId="12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indent="1"/>
    </xf>
    <xf numFmtId="4" fontId="27" fillId="16" borderId="0" applyNumberFormat="0" applyProtection="0">
      <alignment horizontal="left" vertical="center" indent="1"/>
    </xf>
    <xf numFmtId="4" fontId="8" fillId="17" borderId="1" applyNumberFormat="0" applyProtection="0">
      <alignment horizontal="right" vertical="center"/>
    </xf>
    <xf numFmtId="4" fontId="28" fillId="18" borderId="0" applyNumberFormat="0" applyProtection="0">
      <alignment horizontal="left" indent="1"/>
    </xf>
    <xf numFmtId="4" fontId="29" fillId="19" borderId="0" applyNumberFormat="0" applyProtection="0"/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4" borderId="1" applyNumberFormat="0" applyProtection="0">
      <alignment horizontal="left" vertical="center" indent="1"/>
    </xf>
    <xf numFmtId="0" fontId="1" fillId="4" borderId="1" applyNumberFormat="0" applyProtection="0">
      <alignment horizontal="left" vertical="top" indent="1"/>
    </xf>
    <xf numFmtId="0" fontId="1" fillId="20" borderId="1" applyNumberFormat="0" applyProtection="0">
      <alignment horizontal="left" vertical="center" indent="1"/>
    </xf>
    <xf numFmtId="0" fontId="1" fillId="20" borderId="1" applyNumberFormat="0" applyProtection="0">
      <alignment horizontal="left" vertical="top" indent="1"/>
    </xf>
    <xf numFmtId="0" fontId="1" fillId="21" borderId="1" applyNumberFormat="0" applyProtection="0">
      <alignment horizontal="left" vertical="center" indent="1"/>
    </xf>
    <xf numFmtId="0" fontId="1" fillId="21" borderId="1" applyNumberFormat="0" applyProtection="0">
      <alignment horizontal="left" vertical="top" indent="1"/>
    </xf>
    <xf numFmtId="4" fontId="8" fillId="22" borderId="1" applyNumberFormat="0" applyProtection="0">
      <alignment vertical="center"/>
    </xf>
    <xf numFmtId="4" fontId="30" fillId="22" borderId="1" applyNumberFormat="0" applyProtection="0">
      <alignment vertical="center"/>
    </xf>
    <xf numFmtId="4" fontId="8" fillId="22" borderId="1" applyNumberFormat="0" applyProtection="0">
      <alignment horizontal="left" vertical="center" indent="1"/>
    </xf>
    <xf numFmtId="0" fontId="8" fillId="22" borderId="1" applyNumberFormat="0" applyProtection="0">
      <alignment horizontal="left" vertical="top" indent="1"/>
    </xf>
    <xf numFmtId="4" fontId="8" fillId="0" borderId="1" applyNumberFormat="0" applyProtection="0">
      <alignment horizontal="right" vertical="center"/>
    </xf>
    <xf numFmtId="4" fontId="30" fillId="15" borderId="1" applyNumberFormat="0" applyProtection="0">
      <alignment horizontal="right" vertical="center"/>
    </xf>
    <xf numFmtId="4" fontId="8" fillId="0" borderId="1" applyNumberFormat="0" applyProtection="0">
      <alignment horizontal="left" vertical="center" indent="1"/>
    </xf>
    <xf numFmtId="0" fontId="8" fillId="4" borderId="1" applyNumberFormat="0" applyProtection="0">
      <alignment horizontal="left" vertical="top"/>
    </xf>
    <xf numFmtId="4" fontId="31" fillId="23" borderId="0" applyNumberFormat="0" applyProtection="0">
      <alignment horizontal="left"/>
    </xf>
    <xf numFmtId="4" fontId="10" fillId="15" borderId="1" applyNumberFormat="0" applyProtection="0">
      <alignment horizontal="right" vertical="center"/>
    </xf>
  </cellStyleXfs>
  <cellXfs count="282">
    <xf numFmtId="0" fontId="0" fillId="0" borderId="0" xfId="0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/>
    <xf numFmtId="0" fontId="11" fillId="0" borderId="0" xfId="0" applyFont="1" applyAlignment="1">
      <alignment horizontal="centerContinuous"/>
    </xf>
    <xf numFmtId="0" fontId="5" fillId="0" borderId="0" xfId="0" applyFont="1" applyFill="1"/>
    <xf numFmtId="43" fontId="0" fillId="0" borderId="0" xfId="1" applyFont="1" applyFill="1"/>
    <xf numFmtId="0" fontId="0" fillId="0" borderId="0" xfId="0" applyFill="1"/>
    <xf numFmtId="165" fontId="5" fillId="0" borderId="0" xfId="1" applyNumberFormat="1" applyFont="1" applyFill="1"/>
    <xf numFmtId="38" fontId="0" fillId="0" borderId="0" xfId="0" applyNumberFormat="1" applyFill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5" fillId="0" borderId="0" xfId="4" applyFont="1" applyFill="1"/>
    <xf numFmtId="0" fontId="7" fillId="0" borderId="0" xfId="4" applyFont="1" applyFill="1" applyAlignment="1" applyProtection="1">
      <alignment horizontal="center"/>
    </xf>
    <xf numFmtId="0" fontId="5" fillId="0" borderId="0" xfId="3" applyFont="1" applyFill="1"/>
    <xf numFmtId="10" fontId="5" fillId="0" borderId="0" xfId="5" applyNumberFormat="1" applyFont="1" applyFill="1"/>
    <xf numFmtId="0" fontId="8" fillId="0" borderId="0" xfId="3" applyFont="1" applyFill="1" applyAlignment="1" applyProtection="1">
      <alignment horizontal="left"/>
    </xf>
    <xf numFmtId="0" fontId="0" fillId="0" borderId="0" xfId="0" applyFill="1" applyAlignment="1">
      <alignment horizontal="centerContinuous"/>
    </xf>
    <xf numFmtId="0" fontId="13" fillId="0" borderId="0" xfId="0" applyFont="1" applyFill="1"/>
    <xf numFmtId="0" fontId="10" fillId="0" borderId="0" xfId="0" applyFont="1" applyFill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/>
    <xf numFmtId="43" fontId="0" fillId="0" borderId="0" xfId="0" applyNumberFormat="1" applyFill="1"/>
    <xf numFmtId="164" fontId="0" fillId="0" borderId="0" xfId="0" applyNumberFormat="1" applyFill="1"/>
    <xf numFmtId="0" fontId="0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horizontal="centerContinuous"/>
    </xf>
    <xf numFmtId="0" fontId="2" fillId="0" borderId="0" xfId="0" quotePrefix="1" applyFont="1" applyFill="1" applyAlignment="1">
      <alignment horizontal="centerContinuous"/>
    </xf>
    <xf numFmtId="0" fontId="2" fillId="0" borderId="0" xfId="0" applyFont="1" applyFill="1" applyBorder="1"/>
    <xf numFmtId="165" fontId="5" fillId="0" borderId="0" xfId="1" applyNumberFormat="1" applyFont="1" applyFill="1" applyBorder="1"/>
    <xf numFmtId="164" fontId="5" fillId="0" borderId="0" xfId="5" applyNumberFormat="1" applyFont="1" applyFill="1"/>
    <xf numFmtId="17" fontId="3" fillId="0" borderId="0" xfId="0" applyNumberFormat="1" applyFont="1" applyFill="1" applyAlignment="1">
      <alignment horizontal="centerContinuous"/>
    </xf>
    <xf numFmtId="17" fontId="3" fillId="0" borderId="0" xfId="0" quotePrefix="1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6" xfId="0" applyFont="1" applyFill="1" applyBorder="1" applyAlignment="1">
      <alignment horizontal="center"/>
    </xf>
    <xf numFmtId="164" fontId="0" fillId="0" borderId="4" xfId="0" applyNumberFormat="1" applyFill="1" applyBorder="1"/>
    <xf numFmtId="0" fontId="3" fillId="0" borderId="0" xfId="0" applyFont="1" applyFill="1"/>
    <xf numFmtId="0" fontId="1" fillId="0" borderId="0" xfId="0" applyFont="1" applyFill="1"/>
    <xf numFmtId="166" fontId="0" fillId="0" borderId="0" xfId="0" applyNumberFormat="1" applyFill="1"/>
    <xf numFmtId="0" fontId="2" fillId="0" borderId="0" xfId="4" applyFont="1" applyFill="1" applyAlignment="1" applyProtection="1">
      <alignment horizontal="centerContinuous"/>
    </xf>
    <xf numFmtId="0" fontId="5" fillId="0" borderId="0" xfId="4" applyFont="1" applyFill="1" applyAlignment="1" applyProtection="1">
      <alignment horizontal="centerContinuous"/>
    </xf>
    <xf numFmtId="0" fontId="5" fillId="0" borderId="0" xfId="4" applyFont="1" applyFill="1" applyAlignment="1">
      <alignment horizontal="centerContinuous"/>
    </xf>
    <xf numFmtId="0" fontId="5" fillId="0" borderId="0" xfId="4" applyFont="1" applyFill="1" applyAlignment="1">
      <alignment horizontal="center"/>
    </xf>
    <xf numFmtId="0" fontId="5" fillId="0" borderId="7" xfId="4" applyFont="1" applyFill="1" applyBorder="1" applyAlignment="1" applyProtection="1">
      <alignment horizontal="center"/>
    </xf>
    <xf numFmtId="0" fontId="5" fillId="0" borderId="7" xfId="4" applyFont="1" applyFill="1" applyBorder="1" applyAlignment="1">
      <alignment horizontal="center"/>
    </xf>
    <xf numFmtId="0" fontId="5" fillId="0" borderId="0" xfId="4" applyFont="1" applyFill="1" applyBorder="1" applyAlignment="1" applyProtection="1">
      <alignment horizontal="left"/>
    </xf>
    <xf numFmtId="0" fontId="2" fillId="0" borderId="0" xfId="2" applyFont="1" applyFill="1" applyAlignment="1" applyProtection="1">
      <alignment horizontal="centerContinuous"/>
    </xf>
    <xf numFmtId="0" fontId="5" fillId="0" borderId="0" xfId="3" applyFont="1" applyFill="1" applyAlignment="1" applyProtection="1">
      <alignment horizontal="centerContinuous"/>
    </xf>
    <xf numFmtId="0" fontId="5" fillId="0" borderId="0" xfId="3" applyFont="1" applyFill="1" applyAlignment="1">
      <alignment horizontal="centerContinuous"/>
    </xf>
    <xf numFmtId="0" fontId="2" fillId="0" borderId="0" xfId="3" applyFont="1" applyFill="1" applyAlignment="1" applyProtection="1">
      <alignment horizontal="centerContinuous"/>
    </xf>
    <xf numFmtId="165" fontId="5" fillId="0" borderId="0" xfId="3" applyNumberFormat="1" applyFont="1" applyFill="1"/>
    <xf numFmtId="0" fontId="2" fillId="0" borderId="0" xfId="3" applyFont="1" applyFill="1" applyAlignment="1">
      <alignment horizontal="center"/>
    </xf>
    <xf numFmtId="0" fontId="2" fillId="0" borderId="7" xfId="3" applyFont="1" applyFill="1" applyBorder="1" applyAlignment="1" applyProtection="1">
      <alignment horizontal="center"/>
    </xf>
    <xf numFmtId="0" fontId="2" fillId="0" borderId="7" xfId="3" applyFont="1" applyFill="1" applyBorder="1" applyAlignment="1">
      <alignment horizontal="center"/>
    </xf>
    <xf numFmtId="0" fontId="2" fillId="0" borderId="0" xfId="3" applyFont="1" applyFill="1" applyBorder="1" applyProtection="1"/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Border="1"/>
    <xf numFmtId="0" fontId="2" fillId="0" borderId="0" xfId="3" applyFont="1" applyFill="1" applyBorder="1" applyAlignment="1">
      <alignment horizontal="center"/>
    </xf>
    <xf numFmtId="0" fontId="5" fillId="0" borderId="0" xfId="3" applyFont="1" applyFill="1" applyBorder="1" applyProtection="1"/>
    <xf numFmtId="0" fontId="5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0" fontId="5" fillId="0" borderId="0" xfId="3" applyFont="1" applyFill="1" applyProtection="1"/>
    <xf numFmtId="0" fontId="7" fillId="0" borderId="0" xfId="3" applyFont="1" applyFill="1" applyAlignment="1" applyProtection="1">
      <alignment horizontal="center"/>
    </xf>
    <xf numFmtId="43" fontId="5" fillId="0" borderId="0" xfId="3" applyNumberFormat="1" applyFont="1" applyFill="1"/>
    <xf numFmtId="43" fontId="5" fillId="0" borderId="0" xfId="1" applyFont="1" applyFill="1" applyBorder="1" applyProtection="1"/>
    <xf numFmtId="164" fontId="5" fillId="0" borderId="0" xfId="3" applyNumberFormat="1" applyFont="1" applyFill="1"/>
    <xf numFmtId="164" fontId="7" fillId="0" borderId="0" xfId="3" applyNumberFormat="1" applyFont="1" applyFill="1" applyAlignment="1" applyProtection="1">
      <alignment horizontal="center"/>
    </xf>
    <xf numFmtId="164" fontId="7" fillId="0" borderId="0" xfId="3" applyNumberFormat="1" applyFont="1" applyFill="1" applyAlignment="1">
      <alignment horizontal="center"/>
    </xf>
    <xf numFmtId="43" fontId="5" fillId="0" borderId="0" xfId="1" applyFont="1" applyFill="1"/>
    <xf numFmtId="0" fontId="5" fillId="0" borderId="0" xfId="2" applyFont="1" applyFill="1" applyAlignment="1" applyProtection="1">
      <alignment horizontal="centerContinuous"/>
    </xf>
    <xf numFmtId="0" fontId="5" fillId="0" borderId="0" xfId="2" applyFont="1" applyFill="1" applyAlignment="1">
      <alignment horizontal="centerContinuous"/>
    </xf>
    <xf numFmtId="0" fontId="5" fillId="0" borderId="0" xfId="2" applyFont="1" applyFill="1"/>
    <xf numFmtId="0" fontId="2" fillId="0" borderId="0" xfId="2" applyFont="1" applyFill="1" applyAlignment="1">
      <alignment horizontal="center"/>
    </xf>
    <xf numFmtId="0" fontId="5" fillId="0" borderId="0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64" fontId="0" fillId="0" borderId="5" xfId="0" applyNumberFormat="1" applyFill="1" applyBorder="1"/>
    <xf numFmtId="164" fontId="0" fillId="0" borderId="8" xfId="0" applyNumberFormat="1" applyFill="1" applyBorder="1"/>
    <xf numFmtId="165" fontId="0" fillId="0" borderId="0" xfId="1" applyNumberFormat="1" applyFont="1" applyFill="1" applyBorder="1"/>
    <xf numFmtId="165" fontId="2" fillId="0" borderId="0" xfId="1" applyNumberFormat="1" applyFont="1" applyFill="1" applyBorder="1"/>
    <xf numFmtId="37" fontId="5" fillId="0" borderId="0" xfId="4" applyNumberFormat="1" applyFont="1" applyFill="1" applyProtection="1"/>
    <xf numFmtId="37" fontId="5" fillId="0" borderId="0" xfId="4" applyNumberFormat="1" applyFont="1" applyFill="1" applyBorder="1" applyProtection="1"/>
    <xf numFmtId="37" fontId="5" fillId="0" borderId="0" xfId="2" applyNumberFormat="1" applyFont="1" applyFill="1" applyBorder="1" applyProtection="1"/>
    <xf numFmtId="165" fontId="7" fillId="0" borderId="0" xfId="1" applyNumberFormat="1" applyFont="1" applyFill="1" applyAlignment="1" applyProtection="1">
      <alignment horizontal="center"/>
    </xf>
    <xf numFmtId="37" fontId="5" fillId="0" borderId="9" xfId="3" applyNumberFormat="1" applyFont="1" applyFill="1" applyBorder="1" applyProtection="1"/>
    <xf numFmtId="37" fontId="5" fillId="0" borderId="0" xfId="3" applyNumberFormat="1" applyFont="1" applyFill="1" applyProtection="1"/>
    <xf numFmtId="37" fontId="5" fillId="0" borderId="10" xfId="3" applyNumberFormat="1" applyFont="1" applyFill="1" applyBorder="1" applyProtection="1"/>
    <xf numFmtId="37" fontId="5" fillId="0" borderId="0" xfId="3" applyNumberFormat="1" applyFont="1" applyFill="1" applyBorder="1" applyProtection="1"/>
    <xf numFmtId="0" fontId="8" fillId="0" borderId="0" xfId="0" applyFont="1" applyFill="1"/>
    <xf numFmtId="165" fontId="0" fillId="0" borderId="0" xfId="0" applyNumberFormat="1" applyFill="1" applyBorder="1"/>
    <xf numFmtId="0" fontId="2" fillId="24" borderId="4" xfId="0" applyFont="1" applyFill="1" applyBorder="1"/>
    <xf numFmtId="0" fontId="0" fillId="24" borderId="4" xfId="0" applyFill="1" applyBorder="1"/>
    <xf numFmtId="164" fontId="2" fillId="24" borderId="4" xfId="0" applyNumberFormat="1" applyFont="1" applyFill="1" applyBorder="1"/>
    <xf numFmtId="0" fontId="5" fillId="0" borderId="0" xfId="4" applyFont="1" applyFill="1" applyAlignment="1" applyProtection="1">
      <alignment horizontal="center"/>
    </xf>
    <xf numFmtId="0" fontId="2" fillId="0" borderId="3" xfId="0" applyFont="1" applyFill="1" applyBorder="1" applyAlignment="1">
      <alignment horizontal="right"/>
    </xf>
    <xf numFmtId="0" fontId="15" fillId="0" borderId="0" xfId="0" applyFont="1" applyFill="1"/>
    <xf numFmtId="165" fontId="21" fillId="0" borderId="0" xfId="1" applyNumberFormat="1" applyFont="1" applyFill="1" applyBorder="1" applyAlignment="1" applyProtection="1">
      <alignment horizontal="center"/>
    </xf>
    <xf numFmtId="165" fontId="8" fillId="0" borderId="0" xfId="1" applyNumberFormat="1" applyFont="1" applyFill="1"/>
    <xf numFmtId="0" fontId="18" fillId="0" borderId="0" xfId="3" applyFont="1" applyFill="1" applyAlignment="1" applyProtection="1">
      <alignment horizontal="left"/>
    </xf>
    <xf numFmtId="164" fontId="2" fillId="0" borderId="0" xfId="3" applyNumberFormat="1" applyFont="1" applyFill="1"/>
    <xf numFmtId="0" fontId="2" fillId="0" borderId="0" xfId="3" applyFont="1" applyFill="1"/>
    <xf numFmtId="0" fontId="20" fillId="0" borderId="0" xfId="3" applyFont="1" applyFill="1"/>
    <xf numFmtId="0" fontId="20" fillId="0" borderId="0" xfId="4" applyFont="1" applyFill="1"/>
    <xf numFmtId="169" fontId="16" fillId="0" borderId="0" xfId="1" applyNumberFormat="1" applyFont="1" applyFill="1" applyBorder="1"/>
    <xf numFmtId="0" fontId="22" fillId="0" borderId="0" xfId="0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4" applyFont="1" applyFill="1" applyAlignment="1" applyProtection="1">
      <alignment horizontal="right"/>
    </xf>
    <xf numFmtId="0" fontId="7" fillId="0" borderId="0" xfId="4" applyFont="1" applyFill="1" applyAlignment="1">
      <alignment horizontal="right"/>
    </xf>
    <xf numFmtId="0" fontId="24" fillId="0" borderId="0" xfId="0" quotePrefix="1" applyFont="1" applyFill="1" applyAlignment="1">
      <alignment horizontal="centerContinuous"/>
    </xf>
    <xf numFmtId="0" fontId="18" fillId="0" borderId="0" xfId="3" applyFont="1" applyFill="1" applyAlignment="1" applyProtection="1">
      <alignment horizontal="centerContinuous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1" applyNumberFormat="1" applyFont="1"/>
    <xf numFmtId="0" fontId="25" fillId="0" borderId="0" xfId="0" applyFont="1" applyFill="1" applyAlignment="1">
      <alignment horizontal="center"/>
    </xf>
    <xf numFmtId="164" fontId="25" fillId="0" borderId="0" xfId="5" applyNumberFormat="1" applyFont="1" applyFill="1" applyAlignment="1">
      <alignment horizontal="center"/>
    </xf>
    <xf numFmtId="164" fontId="8" fillId="0" borderId="0" xfId="0" applyNumberFormat="1" applyFont="1" applyFill="1"/>
    <xf numFmtId="164" fontId="8" fillId="0" borderId="0" xfId="5" applyNumberFormat="1" applyFont="1" applyFill="1"/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/>
    <xf numFmtId="165" fontId="8" fillId="0" borderId="3" xfId="0" applyNumberFormat="1" applyFont="1" applyFill="1" applyBorder="1"/>
    <xf numFmtId="165" fontId="8" fillId="0" borderId="3" xfId="1" applyNumberFormat="1" applyFont="1" applyFill="1" applyBorder="1"/>
    <xf numFmtId="164" fontId="8" fillId="0" borderId="3" xfId="5" applyNumberFormat="1" applyFont="1" applyFill="1" applyBorder="1"/>
    <xf numFmtId="165" fontId="8" fillId="0" borderId="0" xfId="0" applyNumberFormat="1" applyFont="1" applyFill="1" applyBorder="1"/>
    <xf numFmtId="165" fontId="8" fillId="0" borderId="0" xfId="1" applyNumberFormat="1" applyFont="1" applyFill="1" applyBorder="1"/>
    <xf numFmtId="164" fontId="8" fillId="0" borderId="0" xfId="5" applyNumberFormat="1" applyFont="1" applyFill="1" applyBorder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64" fontId="12" fillId="0" borderId="4" xfId="0" applyNumberFormat="1" applyFont="1" applyFill="1" applyBorder="1"/>
    <xf numFmtId="0" fontId="15" fillId="0" borderId="0" xfId="0" applyFont="1" applyFill="1" applyAlignment="1">
      <alignment horizontal="left"/>
    </xf>
    <xf numFmtId="164" fontId="15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10" fontId="5" fillId="0" borderId="0" xfId="5" applyNumberFormat="1" applyFont="1" applyFill="1" applyBorder="1"/>
    <xf numFmtId="43" fontId="5" fillId="0" borderId="0" xfId="1" applyFont="1" applyFill="1" applyBorder="1"/>
    <xf numFmtId="0" fontId="2" fillId="0" borderId="0" xfId="0" applyFont="1" applyFill="1" applyBorder="1" applyAlignment="1">
      <alignment vertical="center"/>
    </xf>
    <xf numFmtId="10" fontId="2" fillId="0" borderId="0" xfId="5" applyNumberFormat="1" applyFont="1" applyFill="1" applyBorder="1" applyAlignment="1">
      <alignment vertical="center"/>
    </xf>
    <xf numFmtId="164" fontId="2" fillId="0" borderId="0" xfId="5" applyNumberFormat="1" applyFont="1" applyFill="1" applyBorder="1" applyAlignment="1">
      <alignment vertical="center"/>
    </xf>
    <xf numFmtId="0" fontId="5" fillId="0" borderId="0" xfId="4" applyFont="1" applyFill="1" applyBorder="1" applyProtection="1"/>
    <xf numFmtId="0" fontId="5" fillId="0" borderId="0" xfId="4" applyFont="1" applyFill="1" applyBorder="1"/>
    <xf numFmtId="0" fontId="7" fillId="0" borderId="0" xfId="4" applyFont="1" applyFill="1" applyAlignment="1" applyProtection="1">
      <alignment horizontal="left"/>
    </xf>
    <xf numFmtId="0" fontId="5" fillId="0" borderId="0" xfId="2" applyFont="1" applyFill="1" applyBorder="1" applyProtection="1"/>
    <xf numFmtId="0" fontId="5" fillId="0" borderId="0" xfId="2" applyFont="1" applyFill="1" applyBorder="1"/>
    <xf numFmtId="0" fontId="2" fillId="0" borderId="0" xfId="2" applyFont="1" applyFill="1" applyBorder="1" applyProtection="1"/>
    <xf numFmtId="0" fontId="5" fillId="0" borderId="0" xfId="2" applyFont="1" applyFill="1" applyBorder="1" applyAlignment="1" applyProtection="1">
      <alignment horizontal="center"/>
    </xf>
    <xf numFmtId="0" fontId="22" fillId="0" borderId="0" xfId="0" applyFont="1" applyFill="1" applyBorder="1" applyAlignment="1">
      <alignment horizontal="center"/>
    </xf>
    <xf numFmtId="37" fontId="5" fillId="0" borderId="0" xfId="2" applyNumberFormat="1" applyFont="1" applyFill="1" applyBorder="1"/>
    <xf numFmtId="165" fontId="5" fillId="0" borderId="0" xfId="1" applyNumberFormat="1" applyFont="1" applyFill="1" applyBorder="1" applyProtection="1"/>
    <xf numFmtId="165" fontId="8" fillId="0" borderId="0" xfId="1" applyNumberFormat="1" applyFont="1" applyFill="1" applyBorder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8" fillId="0" borderId="0" xfId="2" applyFont="1" applyFill="1" applyBorder="1" applyAlignment="1" applyProtection="1">
      <alignment horizontal="left"/>
    </xf>
    <xf numFmtId="0" fontId="5" fillId="0" borderId="0" xfId="2" applyFont="1" applyFill="1" applyBorder="1" applyAlignment="1" applyProtection="1">
      <alignment horizontal="left"/>
    </xf>
    <xf numFmtId="4" fontId="0" fillId="0" borderId="0" xfId="0" applyNumberFormat="1" applyFill="1" applyBorder="1"/>
    <xf numFmtId="3" fontId="5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43" fontId="0" fillId="0" borderId="0" xfId="1" applyFont="1" applyFill="1" applyBorder="1"/>
    <xf numFmtId="170" fontId="0" fillId="0" borderId="0" xfId="0" applyNumberFormat="1" applyFill="1" applyAlignment="1">
      <alignment horizontal="right"/>
    </xf>
    <xf numFmtId="0" fontId="5" fillId="0" borderId="0" xfId="3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167" fontId="15" fillId="0" borderId="0" xfId="1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9" fontId="0" fillId="0" borderId="0" xfId="5" applyFont="1" applyFill="1" applyAlignment="1">
      <alignment horizontal="center"/>
    </xf>
    <xf numFmtId="0" fontId="2" fillId="0" borderId="3" xfId="0" applyFont="1" applyFill="1" applyBorder="1" applyAlignment="1">
      <alignment vertical="center"/>
    </xf>
    <xf numFmtId="37" fontId="5" fillId="0" borderId="3" xfId="2" applyNumberFormat="1" applyFont="1" applyFill="1" applyBorder="1" applyProtection="1"/>
    <xf numFmtId="0" fontId="2" fillId="0" borderId="7" xfId="2" applyFont="1" applyFill="1" applyBorder="1" applyProtection="1"/>
    <xf numFmtId="0" fontId="5" fillId="0" borderId="7" xfId="2" applyFont="1" applyFill="1" applyBorder="1" applyProtection="1"/>
    <xf numFmtId="37" fontId="5" fillId="0" borderId="7" xfId="2" applyNumberFormat="1" applyFont="1" applyFill="1" applyBorder="1" applyProtection="1"/>
    <xf numFmtId="0" fontId="5" fillId="0" borderId="3" xfId="2" applyFont="1" applyFill="1" applyBorder="1" applyAlignment="1" applyProtection="1">
      <alignment horizontal="center"/>
    </xf>
    <xf numFmtId="0" fontId="5" fillId="0" borderId="3" xfId="2" applyFont="1" applyFill="1" applyBorder="1" applyAlignment="1" applyProtection="1">
      <alignment horizontal="left"/>
    </xf>
    <xf numFmtId="0" fontId="2" fillId="0" borderId="7" xfId="2" applyFont="1" applyFill="1" applyBorder="1" applyAlignment="1" applyProtection="1">
      <alignment horizontal="center"/>
    </xf>
    <xf numFmtId="0" fontId="2" fillId="0" borderId="7" xfId="2" applyFont="1" applyFill="1" applyBorder="1" applyAlignment="1">
      <alignment horizontal="center"/>
    </xf>
    <xf numFmtId="0" fontId="9" fillId="0" borderId="0" xfId="2" applyFont="1" applyFill="1" applyBorder="1" applyAlignment="1" applyProtection="1">
      <alignment horizontal="right"/>
    </xf>
    <xf numFmtId="0" fontId="5" fillId="0" borderId="5" xfId="2" applyFont="1" applyFill="1" applyBorder="1" applyAlignment="1" applyProtection="1">
      <alignment horizontal="center"/>
    </xf>
    <xf numFmtId="0" fontId="5" fillId="0" borderId="5" xfId="2" applyFont="1" applyFill="1" applyBorder="1" applyAlignment="1" applyProtection="1">
      <alignment horizontal="left"/>
    </xf>
    <xf numFmtId="37" fontId="5" fillId="0" borderId="5" xfId="2" applyNumberFormat="1" applyFont="1" applyFill="1" applyBorder="1" applyProtection="1"/>
    <xf numFmtId="164" fontId="0" fillId="0" borderId="0" xfId="0" applyNumberFormat="1" applyFill="1" applyBorder="1"/>
    <xf numFmtId="0" fontId="23" fillId="0" borderId="0" xfId="0" applyFont="1" applyFill="1" applyBorder="1" applyAlignment="1">
      <alignment horizontal="centerContinuous"/>
    </xf>
    <xf numFmtId="164" fontId="20" fillId="0" borderId="0" xfId="0" applyNumberFormat="1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9" fontId="14" fillId="0" borderId="0" xfId="1" applyNumberFormat="1" applyFont="1" applyFill="1" applyBorder="1"/>
    <xf numFmtId="169" fontId="2" fillId="0" borderId="0" xfId="1" applyNumberFormat="1" applyFont="1" applyFill="1" applyBorder="1"/>
    <xf numFmtId="165" fontId="1" fillId="0" borderId="0" xfId="1" applyNumberFormat="1" applyFont="1" applyFill="1" applyBorder="1" applyProtection="1"/>
    <xf numFmtId="0" fontId="1" fillId="0" borderId="0" xfId="4" applyFont="1" applyFill="1" applyBorder="1" applyAlignment="1" applyProtection="1">
      <alignment horizontal="left"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14" fontId="33" fillId="0" borderId="0" xfId="3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3" xfId="0" applyFont="1" applyFill="1" applyBorder="1"/>
    <xf numFmtId="165" fontId="0" fillId="0" borderId="8" xfId="1" applyNumberFormat="1" applyFont="1" applyFill="1" applyBorder="1"/>
    <xf numFmtId="0" fontId="37" fillId="0" borderId="0" xfId="0" applyFont="1" applyFill="1"/>
    <xf numFmtId="0" fontId="34" fillId="0" borderId="0" xfId="0" quotePrefix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1" fillId="0" borderId="3" xfId="0" applyFont="1" applyFill="1" applyBorder="1" applyAlignment="1">
      <alignment vertical="center"/>
    </xf>
    <xf numFmtId="0" fontId="32" fillId="0" borderId="0" xfId="0" applyFont="1" applyFill="1" applyAlignment="1">
      <alignment horizontal="centerContinuous"/>
    </xf>
    <xf numFmtId="0" fontId="2" fillId="0" borderId="6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164" fontId="15" fillId="0" borderId="0" xfId="5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left"/>
    </xf>
    <xf numFmtId="164" fontId="17" fillId="0" borderId="0" xfId="0" applyNumberFormat="1" applyFont="1" applyFill="1" applyAlignment="1">
      <alignment horizontal="left"/>
    </xf>
    <xf numFmtId="168" fontId="15" fillId="0" borderId="0" xfId="5" applyNumberFormat="1" applyFont="1" applyFill="1" applyAlignment="1">
      <alignment horizontal="left"/>
    </xf>
    <xf numFmtId="165" fontId="15" fillId="0" borderId="0" xfId="1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5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left"/>
    </xf>
    <xf numFmtId="165" fontId="1" fillId="0" borderId="0" xfId="1" applyNumberFormat="1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165" fontId="0" fillId="0" borderId="0" xfId="1" applyNumberFormat="1" applyFont="1" applyFill="1"/>
    <xf numFmtId="164" fontId="0" fillId="0" borderId="0" xfId="5" applyNumberFormat="1" applyFont="1" applyFill="1"/>
    <xf numFmtId="165" fontId="1" fillId="0" borderId="8" xfId="1" applyNumberFormat="1" applyFont="1" applyFill="1" applyBorder="1"/>
    <xf numFmtId="164" fontId="1" fillId="0" borderId="0" xfId="5" applyNumberFormat="1" applyFont="1" applyFill="1"/>
    <xf numFmtId="0" fontId="1" fillId="0" borderId="0" xfId="0" applyFont="1" applyFill="1" applyAlignment="1">
      <alignment horizontal="center"/>
    </xf>
    <xf numFmtId="165" fontId="1" fillId="0" borderId="0" xfId="1" applyNumberFormat="1" applyFont="1" applyFill="1" applyBorder="1" applyAlignment="1" applyProtection="1">
      <alignment horizontal="center"/>
    </xf>
    <xf numFmtId="0" fontId="2" fillId="0" borderId="11" xfId="3" applyFont="1" applyFill="1" applyBorder="1" applyProtection="1"/>
    <xf numFmtId="0" fontId="2" fillId="0" borderId="12" xfId="3" applyFont="1" applyFill="1" applyBorder="1" applyProtection="1"/>
    <xf numFmtId="164" fontId="2" fillId="0" borderId="12" xfId="3" applyNumberFormat="1" applyFont="1" applyFill="1" applyBorder="1" applyProtection="1"/>
    <xf numFmtId="164" fontId="2" fillId="0" borderId="13" xfId="3" applyNumberFormat="1" applyFont="1" applyFill="1" applyBorder="1" applyProtection="1"/>
    <xf numFmtId="10" fontId="2" fillId="0" borderId="0" xfId="5" applyNumberFormat="1" applyFont="1" applyFill="1" applyBorder="1"/>
    <xf numFmtId="164" fontId="2" fillId="0" borderId="0" xfId="5" applyNumberFormat="1" applyFont="1" applyFill="1" applyBorder="1"/>
    <xf numFmtId="165" fontId="1" fillId="0" borderId="0" xfId="1" applyNumberFormat="1" applyFont="1" applyFill="1" applyBorder="1"/>
    <xf numFmtId="3" fontId="1" fillId="0" borderId="0" xfId="0" applyNumberFormat="1" applyFont="1" applyFill="1" applyBorder="1"/>
    <xf numFmtId="165" fontId="1" fillId="0" borderId="0" xfId="0" applyNumberFormat="1" applyFont="1" applyFill="1" applyBorder="1"/>
    <xf numFmtId="165" fontId="1" fillId="0" borderId="3" xfId="1" applyNumberFormat="1" applyFont="1" applyFill="1" applyBorder="1" applyAlignment="1" applyProtection="1">
      <alignment horizontal="center"/>
    </xf>
    <xf numFmtId="37" fontId="1" fillId="0" borderId="3" xfId="4" applyNumberFormat="1" applyFont="1" applyFill="1" applyBorder="1" applyProtection="1"/>
    <xf numFmtId="165" fontId="1" fillId="0" borderId="0" xfId="4" applyNumberFormat="1" applyFont="1" applyFill="1" applyBorder="1" applyProtection="1"/>
    <xf numFmtId="37" fontId="1" fillId="0" borderId="5" xfId="4" applyNumberFormat="1" applyFont="1" applyFill="1" applyBorder="1" applyProtection="1"/>
    <xf numFmtId="37" fontId="1" fillId="0" borderId="0" xfId="4" applyNumberFormat="1" applyFont="1" applyFill="1" applyBorder="1" applyProtection="1"/>
    <xf numFmtId="10" fontId="2" fillId="0" borderId="0" xfId="5" applyNumberFormat="1" applyFont="1" applyFill="1" applyBorder="1" applyProtection="1"/>
    <xf numFmtId="164" fontId="2" fillId="0" borderId="0" xfId="5" applyNumberFormat="1" applyFont="1" applyFill="1" applyBorder="1" applyProtection="1"/>
    <xf numFmtId="164" fontId="2" fillId="0" borderId="0" xfId="2" applyNumberFormat="1" applyFont="1" applyFill="1" applyBorder="1" applyProtection="1"/>
    <xf numFmtId="0" fontId="2" fillId="0" borderId="0" xfId="4" applyFont="1" applyFill="1" applyBorder="1" applyAlignment="1" applyProtection="1">
      <alignment horizontal="left"/>
    </xf>
    <xf numFmtId="0" fontId="2" fillId="0" borderId="0" xfId="4" applyFont="1" applyFill="1" applyBorder="1" applyAlignment="1">
      <alignment horizontal="left"/>
    </xf>
    <xf numFmtId="14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Continuous"/>
    </xf>
    <xf numFmtId="165" fontId="1" fillId="0" borderId="0" xfId="0" applyNumberFormat="1" applyFont="1" applyFill="1" applyAlignment="1">
      <alignment vertical="center"/>
    </xf>
    <xf numFmtId="38" fontId="1" fillId="0" borderId="0" xfId="1" applyNumberFormat="1" applyFont="1" applyFill="1" applyBorder="1" applyAlignment="1" applyProtection="1">
      <alignment vertical="center"/>
    </xf>
    <xf numFmtId="165" fontId="1" fillId="0" borderId="0" xfId="1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left"/>
    </xf>
    <xf numFmtId="10" fontId="1" fillId="0" borderId="0" xfId="5" applyNumberFormat="1" applyFont="1" applyFill="1" applyBorder="1"/>
    <xf numFmtId="164" fontId="1" fillId="0" borderId="0" xfId="5" applyNumberFormat="1" applyFont="1" applyFill="1" applyBorder="1"/>
    <xf numFmtId="165" fontId="1" fillId="0" borderId="0" xfId="1" applyNumberFormat="1" applyFont="1" applyFill="1"/>
    <xf numFmtId="165" fontId="1" fillId="0" borderId="0" xfId="1" applyNumberFormat="1" applyFont="1" applyFill="1" applyAlignment="1">
      <alignment horizontal="centerContinuous"/>
    </xf>
    <xf numFmtId="165" fontId="1" fillId="0" borderId="0" xfId="1" applyNumberFormat="1" applyFont="1" applyFill="1" applyBorder="1" applyAlignment="1">
      <alignment vertical="center"/>
    </xf>
    <xf numFmtId="165" fontId="1" fillId="0" borderId="3" xfId="1" applyNumberFormat="1" applyFont="1" applyFill="1" applyBorder="1"/>
    <xf numFmtId="10" fontId="1" fillId="0" borderId="0" xfId="5" applyNumberFormat="1" applyFont="1" applyFill="1"/>
    <xf numFmtId="8" fontId="1" fillId="0" borderId="0" xfId="0" applyNumberFormat="1" applyFont="1" applyFill="1"/>
    <xf numFmtId="0" fontId="1" fillId="0" borderId="0" xfId="0" applyFont="1" applyFill="1" applyBorder="1" applyAlignment="1">
      <alignment horizontal="left" vertical="center"/>
    </xf>
    <xf numFmtId="3" fontId="1" fillId="0" borderId="0" xfId="1" applyNumberFormat="1" applyFont="1" applyFill="1"/>
    <xf numFmtId="164" fontId="1" fillId="0" borderId="0" xfId="0" applyNumberFormat="1" applyFont="1" applyFill="1"/>
    <xf numFmtId="43" fontId="1" fillId="0" borderId="0" xfId="0" applyNumberFormat="1" applyFont="1" applyFill="1" applyBorder="1"/>
    <xf numFmtId="43" fontId="1" fillId="0" borderId="0" xfId="1" applyFont="1" applyFill="1" applyBorder="1"/>
    <xf numFmtId="43" fontId="1" fillId="0" borderId="0" xfId="1" applyFont="1" applyFill="1"/>
    <xf numFmtId="43" fontId="1" fillId="0" borderId="0" xfId="0" applyNumberFormat="1" applyFont="1" applyFill="1"/>
    <xf numFmtId="1" fontId="1" fillId="0" borderId="0" xfId="0" applyNumberFormat="1" applyFont="1" applyFill="1"/>
    <xf numFmtId="38" fontId="1" fillId="0" borderId="0" xfId="0" applyNumberFormat="1" applyFont="1" applyFill="1"/>
    <xf numFmtId="164" fontId="1" fillId="0" borderId="4" xfId="0" applyNumberFormat="1" applyFont="1" applyFill="1" applyBorder="1"/>
    <xf numFmtId="38" fontId="39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44">
    <cellStyle name="Comma" xfId="1" builtinId="3"/>
    <cellStyle name="Normal" xfId="0" builtinId="0"/>
    <cellStyle name="Normal_G-FACT" xfId="2"/>
    <cellStyle name="Normal_GP-FACT" xfId="3"/>
    <cellStyle name="Normal_I-FACT" xfId="4"/>
    <cellStyle name="Percent" xfId="5" builtinId="5"/>
    <cellStyle name="SAPBEXaggData" xfId="6"/>
    <cellStyle name="SAPBEXaggDataEmph" xfId="7"/>
    <cellStyle name="SAPBEXaggItem" xfId="8"/>
    <cellStyle name="SAPBEXaggItemX" xfId="9"/>
    <cellStyle name="SAPBEXchaText" xfId="10"/>
    <cellStyle name="SAPBEXexcBad7" xfId="11"/>
    <cellStyle name="SAPBEXexcBad8" xfId="12"/>
    <cellStyle name="SAPBEXexcBad9" xfId="13"/>
    <cellStyle name="SAPBEXexcCritical4" xfId="14"/>
    <cellStyle name="SAPBEXexcCritical5" xfId="15"/>
    <cellStyle name="SAPBEXexcCritical6" xfId="16"/>
    <cellStyle name="SAPBEXexcGood1" xfId="17"/>
    <cellStyle name="SAPBEXexcGood2" xfId="18"/>
    <cellStyle name="SAPBEXexcGood3" xfId="19"/>
    <cellStyle name="SAPBEXfilterDrill" xfId="20"/>
    <cellStyle name="SAPBEXfilterItem" xfId="21"/>
    <cellStyle name="SAPBEXfilterText" xfId="22"/>
    <cellStyle name="SAPBEXformats" xfId="23"/>
    <cellStyle name="SAPBEXheaderItem" xfId="24"/>
    <cellStyle name="SAPBEXheaderText" xfId="25"/>
    <cellStyle name="SAPBEXHLevel0" xfId="26"/>
    <cellStyle name="SAPBEXHLevel0X" xfId="27"/>
    <cellStyle name="SAPBEXHLevel1" xfId="28"/>
    <cellStyle name="SAPBEXHLevel1X" xfId="29"/>
    <cellStyle name="SAPBEXHLevel2" xfId="30"/>
    <cellStyle name="SAPBEXHLevel2X" xfId="31"/>
    <cellStyle name="SAPBEXHLevel3" xfId="32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38"/>
    <cellStyle name="SAPBEXstdDataEmph" xfId="39"/>
    <cellStyle name="SAPBEXstdItem" xfId="40"/>
    <cellStyle name="SAPBEXstdItemX" xfId="41"/>
    <cellStyle name="SAPBEXtitle" xfId="42"/>
    <cellStyle name="SAPBEXundefined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FFCC"/>
      <color rgb="FFFFFFCC"/>
      <color rgb="FF99FFCC"/>
      <color rgb="FF0000FF"/>
      <color rgb="FFFF00FF"/>
      <color rgb="FFFF99FF"/>
      <color rgb="FFFFFF66"/>
      <color rgb="FFFFFF99"/>
      <color rgb="FFF0B01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Wyoming%20Rate%20Case\1999%20Case\JAM%20Dec%201998%20-%20Wy%20East%20FUN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"/>
      <sheetName val="Report"/>
      <sheetName val="NRO"/>
      <sheetName val="ADJ"/>
      <sheetName val="URO"/>
      <sheetName val="UTCR"/>
      <sheetName val="Unadj Data for RAM"/>
      <sheetName val="Inputs"/>
      <sheetName val="Variables"/>
      <sheetName val="Factors"/>
      <sheetName val="Check"/>
      <sheetName val="WelcomeDialog"/>
      <sheetName val="Macr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B2">
            <v>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75"/>
  <sheetViews>
    <sheetView tabSelected="1" view="pageBreakPreview" zoomScale="90" zoomScaleNormal="90" zoomScaleSheetLayoutView="90" workbookViewId="0"/>
  </sheetViews>
  <sheetFormatPr defaultRowHeight="12.75"/>
  <cols>
    <col min="1" max="1" width="15.5703125" style="78" bestFit="1" customWidth="1"/>
    <col min="2" max="2" width="39.85546875" style="78" bestFit="1" customWidth="1"/>
    <col min="3" max="8" width="13.7109375" style="164" customWidth="1"/>
    <col min="9" max="9" width="10" style="78" bestFit="1" customWidth="1"/>
    <col min="10" max="16384" width="9.140625" style="78"/>
  </cols>
  <sheetData>
    <row r="1" spans="1:12" ht="15.75">
      <c r="A1" s="206" t="s">
        <v>108</v>
      </c>
      <c r="B1" s="20"/>
      <c r="C1" s="20"/>
      <c r="D1" s="20"/>
      <c r="E1" s="20"/>
      <c r="F1" s="20"/>
      <c r="G1" s="20"/>
      <c r="H1" s="20"/>
    </row>
    <row r="2" spans="1:12" ht="15.75">
      <c r="A2" s="222" t="s">
        <v>300</v>
      </c>
      <c r="B2" s="20"/>
      <c r="C2" s="20"/>
      <c r="D2" s="20"/>
      <c r="E2" s="20"/>
      <c r="F2" s="20"/>
      <c r="G2" s="20"/>
      <c r="H2" s="20"/>
    </row>
    <row r="3" spans="1:12" ht="15.75">
      <c r="A3" s="277" t="s">
        <v>227</v>
      </c>
      <c r="B3" s="277"/>
      <c r="C3" s="277"/>
      <c r="D3" s="277"/>
      <c r="E3" s="277"/>
      <c r="F3" s="277"/>
      <c r="G3" s="277"/>
      <c r="H3" s="277"/>
    </row>
    <row r="4" spans="1:12">
      <c r="H4" s="165"/>
    </row>
    <row r="5" spans="1:12">
      <c r="H5" s="165"/>
    </row>
    <row r="6" spans="1:12" ht="13.5" thickBot="1">
      <c r="A6" s="207" t="s">
        <v>76</v>
      </c>
      <c r="B6" s="207" t="s">
        <v>91</v>
      </c>
      <c r="C6" s="37" t="s">
        <v>60</v>
      </c>
      <c r="D6" s="37" t="s">
        <v>61</v>
      </c>
      <c r="E6" s="37" t="s">
        <v>66</v>
      </c>
      <c r="F6" s="37" t="s">
        <v>69</v>
      </c>
      <c r="G6" s="37" t="s">
        <v>70</v>
      </c>
      <c r="H6" s="37" t="s">
        <v>68</v>
      </c>
    </row>
    <row r="7" spans="1:12">
      <c r="A7" s="160"/>
      <c r="B7" s="160"/>
      <c r="C7" s="224"/>
      <c r="D7" s="224"/>
      <c r="E7" s="224"/>
      <c r="F7" s="224"/>
      <c r="G7" s="224"/>
      <c r="H7" s="224"/>
    </row>
    <row r="8" spans="1:12" s="208" customFormat="1">
      <c r="A8" s="133" t="s">
        <v>168</v>
      </c>
      <c r="B8" s="133" t="s">
        <v>90</v>
      </c>
      <c r="C8" s="210">
        <f>BOOKDPR!C13</f>
        <v>0.53374186994749784</v>
      </c>
      <c r="D8" s="210">
        <f>BOOKDPR!D13</f>
        <v>0.16921138031832392</v>
      </c>
      <c r="E8" s="210">
        <f>BOOKDPR!E13</f>
        <v>0.29405102135674682</v>
      </c>
      <c r="F8" s="210">
        <f>BOOKDPR!F13</f>
        <v>2.9957283774314251E-3</v>
      </c>
      <c r="G8" s="210">
        <f>BOOKDPR!G13</f>
        <v>0</v>
      </c>
      <c r="H8" s="211">
        <f t="shared" ref="H8:H34" si="0">ROUND(SUM(C8:G8),4)</f>
        <v>1</v>
      </c>
      <c r="J8" s="209"/>
    </row>
    <row r="9" spans="1:12" s="208" customFormat="1">
      <c r="A9" s="133" t="s">
        <v>58</v>
      </c>
      <c r="B9" s="133" t="s">
        <v>59</v>
      </c>
      <c r="C9" s="210">
        <v>0</v>
      </c>
      <c r="D9" s="210">
        <v>0</v>
      </c>
      <c r="E9" s="210">
        <v>0</v>
      </c>
      <c r="F9" s="210">
        <v>0</v>
      </c>
      <c r="G9" s="210">
        <v>0</v>
      </c>
      <c r="H9" s="211">
        <f t="shared" si="0"/>
        <v>0</v>
      </c>
      <c r="J9" s="209"/>
    </row>
    <row r="10" spans="1:12" s="208" customFormat="1">
      <c r="A10" s="133" t="s">
        <v>69</v>
      </c>
      <c r="B10" s="133" t="s">
        <v>169</v>
      </c>
      <c r="C10" s="210">
        <v>0</v>
      </c>
      <c r="D10" s="210">
        <v>0</v>
      </c>
      <c r="E10" s="210">
        <v>0</v>
      </c>
      <c r="F10" s="218">
        <v>1</v>
      </c>
      <c r="G10" s="210">
        <v>0</v>
      </c>
      <c r="H10" s="211">
        <f t="shared" si="0"/>
        <v>1</v>
      </c>
      <c r="J10" s="209"/>
    </row>
    <row r="11" spans="1:12" s="212" customFormat="1">
      <c r="A11" s="133" t="s">
        <v>170</v>
      </c>
      <c r="B11" s="133" t="s">
        <v>171</v>
      </c>
      <c r="C11" s="210">
        <f>DDS!F34</f>
        <v>0.8346114184848098</v>
      </c>
      <c r="D11" s="210">
        <f>DDS!G34</f>
        <v>1.0842843436198272E-2</v>
      </c>
      <c r="E11" s="210">
        <f>DDS!H34</f>
        <v>1.2266770728822238E-2</v>
      </c>
      <c r="F11" s="210">
        <f>DDS!I34</f>
        <v>0.20647002462443814</v>
      </c>
      <c r="G11" s="210">
        <f>DDS!J34</f>
        <v>-6.4191057274268409E-2</v>
      </c>
      <c r="H11" s="211">
        <f t="shared" si="0"/>
        <v>1</v>
      </c>
      <c r="J11" s="213"/>
    </row>
    <row r="12" spans="1:12" s="212" customFormat="1">
      <c r="A12" s="133" t="s">
        <v>172</v>
      </c>
      <c r="B12" s="133" t="s">
        <v>171</v>
      </c>
      <c r="C12" s="218">
        <v>0</v>
      </c>
      <c r="D12" s="218">
        <v>0</v>
      </c>
      <c r="E12" s="218">
        <v>0</v>
      </c>
      <c r="F12" s="218">
        <v>0</v>
      </c>
      <c r="G12" s="218">
        <v>0</v>
      </c>
      <c r="H12" s="219">
        <f t="shared" si="0"/>
        <v>0</v>
      </c>
      <c r="J12" s="213"/>
    </row>
    <row r="13" spans="1:12" s="212" customFormat="1">
      <c r="A13" s="133" t="s">
        <v>173</v>
      </c>
      <c r="B13" s="133" t="s">
        <v>174</v>
      </c>
      <c r="C13" s="210">
        <f>DDS!F33</f>
        <v>0.12174462693738081</v>
      </c>
      <c r="D13" s="210">
        <f>DDS!G33</f>
        <v>4.0581542312460271E-2</v>
      </c>
      <c r="E13" s="210">
        <f>DDS!H33</f>
        <v>0.24348925387476161</v>
      </c>
      <c r="F13" s="210">
        <f>DDS!I33</f>
        <v>0</v>
      </c>
      <c r="G13" s="210">
        <f>DDS!J33</f>
        <v>0.59418457687539727</v>
      </c>
      <c r="H13" s="211">
        <f t="shared" si="0"/>
        <v>1</v>
      </c>
      <c r="J13" s="213"/>
    </row>
    <row r="14" spans="1:12" s="133" customFormat="1">
      <c r="A14" s="133" t="s">
        <v>175</v>
      </c>
      <c r="B14" s="133" t="s">
        <v>174</v>
      </c>
      <c r="C14" s="210">
        <f>IF(DDS!F52=0,0,DDS!F52)</f>
        <v>0</v>
      </c>
      <c r="D14" s="210">
        <f>DDS!G52</f>
        <v>0</v>
      </c>
      <c r="E14" s="210">
        <f>DDS!H52</f>
        <v>0</v>
      </c>
      <c r="F14" s="210">
        <f>DDS!I52</f>
        <v>0</v>
      </c>
      <c r="G14" s="210">
        <f>DDS!J52</f>
        <v>1</v>
      </c>
      <c r="H14" s="211">
        <f t="shared" si="0"/>
        <v>1</v>
      </c>
      <c r="I14" s="214"/>
      <c r="J14" s="214"/>
      <c r="K14" s="214"/>
      <c r="L14" s="214"/>
    </row>
    <row r="15" spans="1:12" s="133" customFormat="1">
      <c r="A15" s="133" t="s">
        <v>176</v>
      </c>
      <c r="B15" s="133" t="s">
        <v>177</v>
      </c>
      <c r="C15" s="210">
        <f>DDS!F51</f>
        <v>0.71880045322127173</v>
      </c>
      <c r="D15" s="210">
        <f>DDS!G51</f>
        <v>0.28119954677872822</v>
      </c>
      <c r="E15" s="210">
        <f>DDS!H51</f>
        <v>0</v>
      </c>
      <c r="F15" s="210">
        <f>DDS!I51</f>
        <v>0</v>
      </c>
      <c r="G15" s="210">
        <f>DDS!J51</f>
        <v>0</v>
      </c>
      <c r="H15" s="211">
        <f t="shared" si="0"/>
        <v>1</v>
      </c>
      <c r="J15" s="134"/>
    </row>
    <row r="16" spans="1:12" s="133" customFormat="1">
      <c r="A16" s="133" t="s">
        <v>70</v>
      </c>
      <c r="B16" s="133" t="s">
        <v>178</v>
      </c>
      <c r="C16" s="210">
        <v>0</v>
      </c>
      <c r="D16" s="210">
        <v>0</v>
      </c>
      <c r="E16" s="210">
        <v>0</v>
      </c>
      <c r="F16" s="210">
        <v>0</v>
      </c>
      <c r="G16" s="218">
        <v>1</v>
      </c>
      <c r="H16" s="211">
        <f t="shared" si="0"/>
        <v>1</v>
      </c>
      <c r="J16" s="134"/>
    </row>
    <row r="17" spans="1:10" s="133" customFormat="1">
      <c r="A17" s="133" t="s">
        <v>66</v>
      </c>
      <c r="B17" s="133" t="s">
        <v>179</v>
      </c>
      <c r="C17" s="210">
        <f>'FORM 1'!C15</f>
        <v>0</v>
      </c>
      <c r="D17" s="210">
        <f>'FORM 1'!D15</f>
        <v>0</v>
      </c>
      <c r="E17" s="210">
        <f>'FORM 1'!E15</f>
        <v>1</v>
      </c>
      <c r="F17" s="210">
        <f>'FORM 1'!F15</f>
        <v>0</v>
      </c>
      <c r="G17" s="210">
        <f>'FORM 1'!G15</f>
        <v>0</v>
      </c>
      <c r="H17" s="211">
        <f t="shared" si="0"/>
        <v>1</v>
      </c>
      <c r="J17" s="134"/>
    </row>
    <row r="18" spans="1:10" s="217" customFormat="1">
      <c r="A18" s="217" t="s">
        <v>96</v>
      </c>
      <c r="B18" s="217" t="s">
        <v>180</v>
      </c>
      <c r="C18" s="218">
        <v>0.3</v>
      </c>
      <c r="D18" s="218">
        <v>0.1</v>
      </c>
      <c r="E18" s="218">
        <v>0.6</v>
      </c>
      <c r="F18" s="218">
        <v>0</v>
      </c>
      <c r="G18" s="218">
        <v>0</v>
      </c>
      <c r="H18" s="219">
        <f t="shared" si="0"/>
        <v>1</v>
      </c>
      <c r="J18" s="220"/>
    </row>
    <row r="19" spans="1:10" s="133" customFormat="1">
      <c r="A19" s="133" t="s">
        <v>113</v>
      </c>
      <c r="B19" s="133" t="s">
        <v>181</v>
      </c>
      <c r="C19" s="210">
        <f>'FORM 1'!C39</f>
        <v>0.53552737981222298</v>
      </c>
      <c r="D19" s="210">
        <f>'FORM 1'!D39</f>
        <v>0.46447262018777702</v>
      </c>
      <c r="E19" s="210">
        <f>'FORM 1'!E39</f>
        <v>0</v>
      </c>
      <c r="F19" s="210">
        <f>'FORM 1'!F39</f>
        <v>0</v>
      </c>
      <c r="G19" s="210">
        <f>'FORM 1'!G39</f>
        <v>0</v>
      </c>
      <c r="H19" s="211">
        <f t="shared" si="0"/>
        <v>1</v>
      </c>
      <c r="J19" s="134"/>
    </row>
    <row r="20" spans="1:10" s="133" customFormat="1">
      <c r="A20" s="133" t="s">
        <v>67</v>
      </c>
      <c r="B20" s="133" t="s">
        <v>121</v>
      </c>
      <c r="C20" s="210">
        <f>'GENERAL PLANT'!E38</f>
        <v>0.22768115207366432</v>
      </c>
      <c r="D20" s="210">
        <f>'GENERAL PLANT'!F38</f>
        <v>0.31587318219250599</v>
      </c>
      <c r="E20" s="210">
        <f>'GENERAL PLANT'!G38</f>
        <v>0.43315507380497675</v>
      </c>
      <c r="F20" s="210">
        <f>'GENERAL PLANT'!H38</f>
        <v>2.3290591928853015E-2</v>
      </c>
      <c r="G20" s="210">
        <f>'GENERAL PLANT'!I38</f>
        <v>0</v>
      </c>
      <c r="H20" s="211">
        <f t="shared" si="0"/>
        <v>1</v>
      </c>
      <c r="J20" s="134"/>
    </row>
    <row r="21" spans="1:10" s="133" customFormat="1">
      <c r="A21" s="133" t="s">
        <v>182</v>
      </c>
      <c r="B21" s="133" t="s">
        <v>183</v>
      </c>
      <c r="C21" s="210">
        <v>0.69712876692486192</v>
      </c>
      <c r="D21" s="210">
        <v>0.30287123307513802</v>
      </c>
      <c r="E21" s="210">
        <v>0</v>
      </c>
      <c r="F21" s="210">
        <v>0</v>
      </c>
      <c r="G21" s="210">
        <v>0</v>
      </c>
      <c r="H21" s="211">
        <f t="shared" si="0"/>
        <v>1</v>
      </c>
      <c r="J21" s="134"/>
    </row>
    <row r="22" spans="1:10" s="133" customFormat="1">
      <c r="A22" s="133" t="s">
        <v>184</v>
      </c>
      <c r="B22" s="133" t="s">
        <v>185</v>
      </c>
      <c r="C22" s="210">
        <v>0.69712876692486192</v>
      </c>
      <c r="D22" s="210">
        <v>0.30287123307513802</v>
      </c>
      <c r="E22" s="210">
        <v>0</v>
      </c>
      <c r="F22" s="210">
        <v>0</v>
      </c>
      <c r="G22" s="210">
        <v>0</v>
      </c>
      <c r="H22" s="211">
        <f t="shared" si="0"/>
        <v>1</v>
      </c>
      <c r="J22" s="134"/>
    </row>
    <row r="23" spans="1:10" s="133" customFormat="1">
      <c r="A23" s="133" t="s">
        <v>106</v>
      </c>
      <c r="B23" s="133" t="s">
        <v>186</v>
      </c>
      <c r="C23" s="210">
        <f>'GROSS PLANT'!E43</f>
        <v>0.50485130726490091</v>
      </c>
      <c r="D23" s="210">
        <f>'GROSS PLANT'!F43</f>
        <v>0.2291041445041237</v>
      </c>
      <c r="E23" s="210">
        <f>'GROSS PLANT'!G43</f>
        <v>0.2602402184286699</v>
      </c>
      <c r="F23" s="210">
        <f>'GROSS PLANT'!H43</f>
        <v>5.8043298023055887E-3</v>
      </c>
      <c r="G23" s="210">
        <f>'GROSS PLANT'!I43</f>
        <v>0</v>
      </c>
      <c r="H23" s="211">
        <f t="shared" si="0"/>
        <v>1</v>
      </c>
      <c r="J23" s="134"/>
    </row>
    <row r="24" spans="1:10" s="133" customFormat="1">
      <c r="A24" s="133" t="s">
        <v>187</v>
      </c>
      <c r="B24" s="133" t="s">
        <v>188</v>
      </c>
      <c r="C24" s="210">
        <f>'GENERAL PLANT'!E34</f>
        <v>0.49015193398945944</v>
      </c>
      <c r="D24" s="210">
        <f>'GENERAL PLANT'!F34</f>
        <v>0.50984806601054056</v>
      </c>
      <c r="E24" s="210">
        <f>'GENERAL PLANT'!G34</f>
        <v>0</v>
      </c>
      <c r="F24" s="210">
        <f>'GENERAL PLANT'!H34</f>
        <v>0</v>
      </c>
      <c r="G24" s="210">
        <f>'GENERAL PLANT'!I34</f>
        <v>0</v>
      </c>
      <c r="H24" s="211">
        <f t="shared" si="0"/>
        <v>1</v>
      </c>
      <c r="J24" s="134"/>
    </row>
    <row r="25" spans="1:10" s="133" customFormat="1">
      <c r="A25" s="133" t="s">
        <v>14</v>
      </c>
      <c r="B25" s="133" t="s">
        <v>15</v>
      </c>
      <c r="C25" s="210">
        <f>'GENERAL PLANT'!E36</f>
        <v>0</v>
      </c>
      <c r="D25" s="210">
        <f>'GENERAL PLANT'!F36</f>
        <v>0.28515608665422792</v>
      </c>
      <c r="E25" s="210">
        <f>'GENERAL PLANT'!G36</f>
        <v>0.71484391334577224</v>
      </c>
      <c r="F25" s="210">
        <f>'GENERAL PLANT'!H36</f>
        <v>0</v>
      </c>
      <c r="G25" s="210">
        <f>'GENERAL PLANT'!I36</f>
        <v>0</v>
      </c>
      <c r="H25" s="211">
        <f t="shared" si="0"/>
        <v>1</v>
      </c>
      <c r="J25" s="134"/>
    </row>
    <row r="26" spans="1:10" s="133" customFormat="1">
      <c r="A26" s="133" t="s">
        <v>189</v>
      </c>
      <c r="B26" s="133" t="s">
        <v>132</v>
      </c>
      <c r="C26" s="210">
        <f>'INTANGIBLE PLANT'!D33</f>
        <v>0.54555249756190904</v>
      </c>
      <c r="D26" s="210">
        <f>'INTANGIBLE PLANT'!E33</f>
        <v>0.15558298746609936</v>
      </c>
      <c r="E26" s="210">
        <f>'INTANGIBLE PLANT'!F33</f>
        <v>0.14049981933022609</v>
      </c>
      <c r="F26" s="210">
        <f>'INTANGIBLE PLANT'!G33</f>
        <v>0.15836469564176545</v>
      </c>
      <c r="G26" s="210">
        <f>'INTANGIBLE PLANT'!H33</f>
        <v>0</v>
      </c>
      <c r="H26" s="211">
        <f t="shared" si="0"/>
        <v>1</v>
      </c>
      <c r="J26" s="134"/>
    </row>
    <row r="27" spans="1:10" s="133" customFormat="1">
      <c r="A27" s="133" t="s">
        <v>190</v>
      </c>
      <c r="B27" s="133" t="s">
        <v>191</v>
      </c>
      <c r="C27" s="210">
        <v>1</v>
      </c>
      <c r="D27" s="210">
        <v>0</v>
      </c>
      <c r="E27" s="210">
        <v>0</v>
      </c>
      <c r="F27" s="210">
        <v>0</v>
      </c>
      <c r="G27" s="210">
        <v>0</v>
      </c>
      <c r="H27" s="211">
        <f t="shared" si="0"/>
        <v>1</v>
      </c>
      <c r="J27" s="134"/>
    </row>
    <row r="28" spans="1:10" s="133" customFormat="1">
      <c r="A28" s="133" t="s">
        <v>192</v>
      </c>
      <c r="B28" s="133" t="s">
        <v>193</v>
      </c>
      <c r="C28" s="210">
        <v>1</v>
      </c>
      <c r="D28" s="210">
        <v>0</v>
      </c>
      <c r="E28" s="210">
        <v>0</v>
      </c>
      <c r="F28" s="210">
        <v>0</v>
      </c>
      <c r="G28" s="210">
        <v>0</v>
      </c>
      <c r="H28" s="211">
        <f t="shared" si="0"/>
        <v>1</v>
      </c>
      <c r="J28" s="134"/>
    </row>
    <row r="29" spans="1:10" s="133" customFormat="1">
      <c r="A29" s="133" t="s">
        <v>194</v>
      </c>
      <c r="B29" s="133" t="s">
        <v>195</v>
      </c>
      <c r="C29" s="210">
        <f>'INTANGIBLE PLANT'!D31</f>
        <v>0.85170329991651883</v>
      </c>
      <c r="D29" s="210">
        <f>'INTANGIBLE PLANT'!E31</f>
        <v>0.148296700083481</v>
      </c>
      <c r="E29" s="210">
        <f>'INTANGIBLE PLANT'!F31</f>
        <v>0</v>
      </c>
      <c r="F29" s="210">
        <f>'INTANGIBLE PLANT'!G31</f>
        <v>0</v>
      </c>
      <c r="G29" s="210">
        <f>'INTANGIBLE PLANT'!H31</f>
        <v>0</v>
      </c>
      <c r="H29" s="211">
        <f t="shared" si="0"/>
        <v>1</v>
      </c>
      <c r="J29" s="134"/>
    </row>
    <row r="30" spans="1:10" s="133" customFormat="1">
      <c r="A30" s="133" t="s">
        <v>20</v>
      </c>
      <c r="B30" s="133" t="s">
        <v>21</v>
      </c>
      <c r="C30" s="210">
        <f>'INTANGIBLE PLANT'!D32</f>
        <v>1.7415216099955024E-2</v>
      </c>
      <c r="D30" s="210">
        <f>'INTANGIBLE PLANT'!E32</f>
        <v>0.47614636955887957</v>
      </c>
      <c r="E30" s="210">
        <f>'INTANGIBLE PLANT'!F32</f>
        <v>0.50643841434116554</v>
      </c>
      <c r="F30" s="210">
        <f>'INTANGIBLE PLANT'!G32</f>
        <v>0</v>
      </c>
      <c r="G30" s="210">
        <f>'INTANGIBLE PLANT'!H32</f>
        <v>0</v>
      </c>
      <c r="H30" s="211">
        <f t="shared" si="0"/>
        <v>1</v>
      </c>
      <c r="J30" s="134"/>
    </row>
    <row r="31" spans="1:10" s="133" customFormat="1">
      <c r="A31" s="133" t="s">
        <v>98</v>
      </c>
      <c r="B31" s="133" t="s">
        <v>196</v>
      </c>
      <c r="C31" s="210">
        <f>'FORM 1'!C25</f>
        <v>0.44037754002527002</v>
      </c>
      <c r="D31" s="210">
        <f>'FORM 1'!D25</f>
        <v>7.3398818350960335E-2</v>
      </c>
      <c r="E31" s="210">
        <f>'FORM 1'!E25</f>
        <v>0.34017577812492666</v>
      </c>
      <c r="F31" s="210">
        <f>'FORM 1'!F25</f>
        <v>0.14604786349884299</v>
      </c>
      <c r="G31" s="210">
        <f>'FORM 1'!G25</f>
        <v>0</v>
      </c>
      <c r="H31" s="211">
        <f t="shared" si="0"/>
        <v>1</v>
      </c>
      <c r="J31" s="134"/>
    </row>
    <row r="32" spans="1:10" s="133" customFormat="1">
      <c r="A32" s="133" t="s">
        <v>197</v>
      </c>
      <c r="B32" s="133" t="s">
        <v>198</v>
      </c>
      <c r="C32" s="210">
        <f>'FORM 1'!C32</f>
        <v>0.87069451336117754</v>
      </c>
      <c r="D32" s="210">
        <f>'FORM 1'!D32</f>
        <v>6.6654622233269607E-3</v>
      </c>
      <c r="E32" s="210">
        <f>'FORM 1'!E32</f>
        <v>0.1226400244154955</v>
      </c>
      <c r="F32" s="210">
        <f>'FORM 1'!F32</f>
        <v>0</v>
      </c>
      <c r="G32" s="210">
        <f>'FORM 1'!G32</f>
        <v>0</v>
      </c>
      <c r="H32" s="211">
        <f t="shared" si="0"/>
        <v>1</v>
      </c>
      <c r="J32" s="134"/>
    </row>
    <row r="33" spans="1:10" s="217" customFormat="1">
      <c r="A33" s="217" t="s">
        <v>199</v>
      </c>
      <c r="B33" s="217" t="s">
        <v>200</v>
      </c>
      <c r="C33" s="218">
        <v>0</v>
      </c>
      <c r="D33" s="218">
        <v>0</v>
      </c>
      <c r="E33" s="218">
        <v>0</v>
      </c>
      <c r="F33" s="218">
        <v>0</v>
      </c>
      <c r="G33" s="218">
        <v>0</v>
      </c>
      <c r="H33" s="219">
        <f t="shared" si="0"/>
        <v>0</v>
      </c>
      <c r="J33" s="220"/>
    </row>
    <row r="34" spans="1:10" s="217" customFormat="1">
      <c r="A34" s="217" t="s">
        <v>201</v>
      </c>
      <c r="B34" s="217" t="s">
        <v>202</v>
      </c>
      <c r="C34" s="218">
        <v>0</v>
      </c>
      <c r="D34" s="218">
        <v>0</v>
      </c>
      <c r="E34" s="218">
        <v>0</v>
      </c>
      <c r="F34" s="218">
        <v>0</v>
      </c>
      <c r="G34" s="218">
        <v>0</v>
      </c>
      <c r="H34" s="219">
        <f t="shared" si="0"/>
        <v>0</v>
      </c>
      <c r="J34" s="220"/>
    </row>
    <row r="35" spans="1:10" s="133" customFormat="1">
      <c r="A35" s="133" t="s">
        <v>203</v>
      </c>
      <c r="B35" s="133" t="s">
        <v>204</v>
      </c>
      <c r="C35" s="210">
        <f>C39</f>
        <v>0.58084691832672641</v>
      </c>
      <c r="D35" s="210">
        <f>D39</f>
        <v>0.4191530816732737</v>
      </c>
      <c r="E35" s="210">
        <f>E39</f>
        <v>0</v>
      </c>
      <c r="F35" s="210">
        <f>F39</f>
        <v>0</v>
      </c>
      <c r="G35" s="210">
        <f>G39</f>
        <v>0</v>
      </c>
      <c r="H35" s="211">
        <f t="shared" ref="H35:H62" si="1">ROUND(SUM(C35:G35),4)</f>
        <v>1</v>
      </c>
      <c r="J35" s="134"/>
    </row>
    <row r="36" spans="1:10" s="133" customFormat="1">
      <c r="A36" s="133" t="s">
        <v>205</v>
      </c>
      <c r="B36" s="133" t="s">
        <v>206</v>
      </c>
      <c r="C36" s="210">
        <f>C39</f>
        <v>0.58084691832672641</v>
      </c>
      <c r="D36" s="210">
        <f>D39</f>
        <v>0.4191530816732737</v>
      </c>
      <c r="E36" s="210">
        <f>E39</f>
        <v>0</v>
      </c>
      <c r="F36" s="210">
        <f>F39</f>
        <v>0</v>
      </c>
      <c r="G36" s="210">
        <f>G39</f>
        <v>0</v>
      </c>
      <c r="H36" s="211">
        <f t="shared" si="1"/>
        <v>1</v>
      </c>
      <c r="J36" s="134"/>
    </row>
    <row r="37" spans="1:10" s="133" customFormat="1">
      <c r="A37" s="133" t="s">
        <v>207</v>
      </c>
      <c r="B37" s="133" t="s">
        <v>208</v>
      </c>
      <c r="C37" s="210">
        <f>'OTHER REVENUE'!E23</f>
        <v>0</v>
      </c>
      <c r="D37" s="210">
        <f>'OTHER REVENUE'!F23</f>
        <v>1</v>
      </c>
      <c r="E37" s="210">
        <f>'OTHER REVENUE'!G23</f>
        <v>0</v>
      </c>
      <c r="F37" s="210">
        <f>'OTHER REVENUE'!H23</f>
        <v>0</v>
      </c>
      <c r="G37" s="210">
        <f>'OTHER REVENUE'!I23</f>
        <v>0</v>
      </c>
      <c r="H37" s="211">
        <f t="shared" si="1"/>
        <v>1</v>
      </c>
      <c r="J37" s="134"/>
    </row>
    <row r="38" spans="1:10" s="133" customFormat="1">
      <c r="A38" s="133" t="s">
        <v>209</v>
      </c>
      <c r="B38" s="133" t="s">
        <v>210</v>
      </c>
      <c r="C38" s="210">
        <f>'OTHER REVENUE'!E24</f>
        <v>0.58084691832672641</v>
      </c>
      <c r="D38" s="210">
        <f>'OTHER REVENUE'!F24</f>
        <v>0.4191530816732737</v>
      </c>
      <c r="E38" s="210">
        <f>'OTHER REVENUE'!G24</f>
        <v>0</v>
      </c>
      <c r="F38" s="210">
        <f>'OTHER REVENUE'!H24</f>
        <v>0</v>
      </c>
      <c r="G38" s="210">
        <f>'OTHER REVENUE'!I24</f>
        <v>0</v>
      </c>
      <c r="H38" s="211">
        <f t="shared" si="1"/>
        <v>1</v>
      </c>
      <c r="J38" s="134"/>
    </row>
    <row r="39" spans="1:10" s="133" customFormat="1">
      <c r="A39" s="133" t="s">
        <v>211</v>
      </c>
      <c r="B39" s="133" t="s">
        <v>212</v>
      </c>
      <c r="C39" s="210">
        <f>+C38</f>
        <v>0.58084691832672641</v>
      </c>
      <c r="D39" s="210">
        <f>+D38</f>
        <v>0.4191530816732737</v>
      </c>
      <c r="E39" s="210">
        <f>+E38</f>
        <v>0</v>
      </c>
      <c r="F39" s="210">
        <f>+F38</f>
        <v>0</v>
      </c>
      <c r="G39" s="210">
        <f>+G38</f>
        <v>0</v>
      </c>
      <c r="H39" s="211">
        <f t="shared" si="1"/>
        <v>1</v>
      </c>
      <c r="J39" s="134"/>
    </row>
    <row r="40" spans="1:10" s="133" customFormat="1">
      <c r="A40" s="133" t="s">
        <v>54</v>
      </c>
      <c r="B40" s="133" t="s">
        <v>55</v>
      </c>
      <c r="C40" s="210">
        <f>'OTHER REVENUE'!E21</f>
        <v>0</v>
      </c>
      <c r="D40" s="210">
        <f>'OTHER REVENUE'!F21</f>
        <v>0</v>
      </c>
      <c r="E40" s="210">
        <f>'OTHER REVENUE'!G21</f>
        <v>0</v>
      </c>
      <c r="F40" s="210">
        <f>'OTHER REVENUE'!H21</f>
        <v>0</v>
      </c>
      <c r="G40" s="210">
        <f>'OTHER REVENUE'!I21</f>
        <v>1</v>
      </c>
      <c r="H40" s="211">
        <f t="shared" si="1"/>
        <v>1</v>
      </c>
      <c r="J40" s="134"/>
    </row>
    <row r="41" spans="1:10" s="133" customFormat="1">
      <c r="A41" s="133" t="s">
        <v>213</v>
      </c>
      <c r="B41" s="133" t="s">
        <v>214</v>
      </c>
      <c r="C41" s="210">
        <f>'OTHER REVENUE'!E25</f>
        <v>0</v>
      </c>
      <c r="D41" s="210">
        <f>'OTHER REVENUE'!F25</f>
        <v>0</v>
      </c>
      <c r="E41" s="210">
        <f>'OTHER REVENUE'!G25</f>
        <v>0</v>
      </c>
      <c r="F41" s="210">
        <f>'OTHER REVENUE'!H25</f>
        <v>0</v>
      </c>
      <c r="G41" s="210">
        <f>'OTHER REVENUE'!I25</f>
        <v>1</v>
      </c>
      <c r="H41" s="211">
        <f t="shared" si="1"/>
        <v>1</v>
      </c>
      <c r="J41" s="134"/>
    </row>
    <row r="42" spans="1:10" s="133" customFormat="1">
      <c r="A42" s="133" t="s">
        <v>64</v>
      </c>
      <c r="B42" s="133" t="s">
        <v>60</v>
      </c>
      <c r="C42" s="210">
        <f>'FORM 1'!C13</f>
        <v>1</v>
      </c>
      <c r="D42" s="210">
        <f>'FORM 1'!D13</f>
        <v>0</v>
      </c>
      <c r="E42" s="210">
        <f>'FORM 1'!E13</f>
        <v>0</v>
      </c>
      <c r="F42" s="210">
        <f>'FORM 1'!F13</f>
        <v>0</v>
      </c>
      <c r="G42" s="210">
        <f>'FORM 1'!G13</f>
        <v>0</v>
      </c>
      <c r="H42" s="211">
        <f t="shared" si="1"/>
        <v>1</v>
      </c>
      <c r="J42" s="134"/>
    </row>
    <row r="43" spans="1:10" s="133" customFormat="1">
      <c r="A43" s="133" t="s">
        <v>215</v>
      </c>
      <c r="B43" s="133" t="s">
        <v>216</v>
      </c>
      <c r="C43" s="210">
        <f>'SCH M'!F68</f>
        <v>0.50019169061738278</v>
      </c>
      <c r="D43" s="210">
        <f>'SCH M'!G68</f>
        <v>0.20660637731119727</v>
      </c>
      <c r="E43" s="210">
        <f>'SCH M'!H68</f>
        <v>0.28657683258736649</v>
      </c>
      <c r="F43" s="210">
        <f>'SCH M'!I68</f>
        <v>4.3025863953297903E-3</v>
      </c>
      <c r="G43" s="210">
        <f>'SCH M'!J68</f>
        <v>2.3225130887234717E-3</v>
      </c>
      <c r="H43" s="211">
        <f t="shared" si="1"/>
        <v>1</v>
      </c>
      <c r="J43" s="134"/>
    </row>
    <row r="44" spans="1:10" s="217" customFormat="1">
      <c r="A44" s="217" t="s">
        <v>150</v>
      </c>
      <c r="B44" s="217" t="s">
        <v>217</v>
      </c>
      <c r="C44" s="218">
        <v>1</v>
      </c>
      <c r="D44" s="218">
        <v>0</v>
      </c>
      <c r="E44" s="218">
        <v>0</v>
      </c>
      <c r="F44" s="218">
        <v>0</v>
      </c>
      <c r="G44" s="218">
        <v>0</v>
      </c>
      <c r="H44" s="219">
        <f t="shared" si="1"/>
        <v>1</v>
      </c>
      <c r="J44" s="220"/>
    </row>
    <row r="45" spans="1:10" s="133" customFormat="1">
      <c r="A45" s="133" t="s">
        <v>144</v>
      </c>
      <c r="B45" s="133" t="s">
        <v>218</v>
      </c>
      <c r="C45" s="210">
        <f>'SCH M'!F16</f>
        <v>0.8574333839330468</v>
      </c>
      <c r="D45" s="210">
        <f>'SCH M'!G16</f>
        <v>8.1043608414898827E-2</v>
      </c>
      <c r="E45" s="210">
        <f>'SCH M'!H16</f>
        <v>7.2449303239484397E-2</v>
      </c>
      <c r="F45" s="210">
        <f>'SCH M'!I16</f>
        <v>-1.0926295587429942E-2</v>
      </c>
      <c r="G45" s="210">
        <f>'SCH M'!J16</f>
        <v>0</v>
      </c>
      <c r="H45" s="211">
        <f t="shared" si="1"/>
        <v>1</v>
      </c>
      <c r="J45" s="134"/>
    </row>
    <row r="46" spans="1:10" s="133" customFormat="1">
      <c r="A46" s="133" t="s">
        <v>22</v>
      </c>
      <c r="B46" s="133" t="s">
        <v>23</v>
      </c>
      <c r="C46" s="210">
        <f>'SCH M'!F15</f>
        <v>0.51990690392496175</v>
      </c>
      <c r="D46" s="210">
        <f>'SCH M'!G15</f>
        <v>0.27023841979284263</v>
      </c>
      <c r="E46" s="210">
        <f>'SCH M'!H15</f>
        <v>0.24458304593650496</v>
      </c>
      <c r="F46" s="210">
        <f>'SCH M'!I15</f>
        <v>-3.4728369654309296E-2</v>
      </c>
      <c r="G46" s="210">
        <f>'SCH M'!J15</f>
        <v>0</v>
      </c>
      <c r="H46" s="211">
        <f t="shared" si="1"/>
        <v>1</v>
      </c>
      <c r="J46" s="134"/>
    </row>
    <row r="47" spans="1:10" s="133" customFormat="1">
      <c r="A47" s="133" t="s">
        <v>147</v>
      </c>
      <c r="B47" s="133" t="s">
        <v>219</v>
      </c>
      <c r="C47" s="210">
        <f>+'SCH M'!F$60</f>
        <v>0.50191537744245696</v>
      </c>
      <c r="D47" s="210">
        <f>+'SCH M'!G$60</f>
        <v>0.2060005384785078</v>
      </c>
      <c r="E47" s="210">
        <f>+'SCH M'!H$60</f>
        <v>0.285543669862722</v>
      </c>
      <c r="F47" s="210">
        <f>+'SCH M'!I$60</f>
        <v>4.2291072249937096E-3</v>
      </c>
      <c r="G47" s="210">
        <f>+'SCH M'!J$60</f>
        <v>2.3113069913193889E-3</v>
      </c>
      <c r="H47" s="210">
        <f>+'SCH M'!K$60</f>
        <v>0</v>
      </c>
      <c r="J47" s="215"/>
    </row>
    <row r="48" spans="1:10" s="133" customFormat="1">
      <c r="A48" s="133" t="s">
        <v>24</v>
      </c>
      <c r="B48" s="133" t="s">
        <v>25</v>
      </c>
      <c r="C48" s="210">
        <v>0</v>
      </c>
      <c r="D48" s="210">
        <v>0</v>
      </c>
      <c r="E48" s="210">
        <v>0</v>
      </c>
      <c r="F48" s="210">
        <v>0</v>
      </c>
      <c r="G48" s="210">
        <v>0</v>
      </c>
      <c r="H48" s="210">
        <v>0</v>
      </c>
      <c r="J48" s="215"/>
    </row>
    <row r="49" spans="1:10" s="133" customFormat="1">
      <c r="A49" s="133" t="s">
        <v>26</v>
      </c>
      <c r="B49" s="133" t="s">
        <v>27</v>
      </c>
      <c r="C49" s="210">
        <f>'SCH M'!F56</f>
        <v>1</v>
      </c>
      <c r="D49" s="210">
        <f>'SCH M'!G56</f>
        <v>0</v>
      </c>
      <c r="E49" s="210">
        <f>'SCH M'!H56</f>
        <v>0</v>
      </c>
      <c r="F49" s="210">
        <f>'SCH M'!I56</f>
        <v>0</v>
      </c>
      <c r="G49" s="210">
        <f>'SCH M'!J56</f>
        <v>0</v>
      </c>
      <c r="H49" s="211">
        <f t="shared" si="1"/>
        <v>1</v>
      </c>
      <c r="J49" s="215"/>
    </row>
    <row r="50" spans="1:10" s="133" customFormat="1">
      <c r="A50" s="133" t="s">
        <v>32</v>
      </c>
      <c r="B50" s="133" t="s">
        <v>33</v>
      </c>
      <c r="C50" s="210">
        <f>'SCH M'!F58</f>
        <v>1.1238395449561136</v>
      </c>
      <c r="D50" s="210">
        <f>'SCH M'!G58</f>
        <v>0.16932247363149225</v>
      </c>
      <c r="E50" s="210">
        <f>'SCH M'!H58</f>
        <v>-0.40641528357948686</v>
      </c>
      <c r="F50" s="210">
        <f>'SCH M'!I58</f>
        <v>2.1321586223432389E-4</v>
      </c>
      <c r="G50" s="210">
        <f>'SCH M'!J58</f>
        <v>0.11304004912964703</v>
      </c>
      <c r="H50" s="211">
        <f t="shared" si="1"/>
        <v>1</v>
      </c>
      <c r="J50" s="215"/>
    </row>
    <row r="51" spans="1:10" s="133" customFormat="1">
      <c r="A51" s="133" t="s">
        <v>28</v>
      </c>
      <c r="B51" s="133" t="s">
        <v>29</v>
      </c>
      <c r="C51" s="210">
        <f>'SCH M'!F57</f>
        <v>0.50463302705541802</v>
      </c>
      <c r="D51" s="210">
        <f>'SCH M'!G57</f>
        <v>0.23236052143558114</v>
      </c>
      <c r="E51" s="210">
        <f>'SCH M'!H57</f>
        <v>0.26289518371096732</v>
      </c>
      <c r="F51" s="210">
        <f>'SCH M'!I57</f>
        <v>1.1126779803350418E-4</v>
      </c>
      <c r="G51" s="210">
        <f>'SCH M'!J57</f>
        <v>0</v>
      </c>
      <c r="H51" s="211">
        <f t="shared" si="1"/>
        <v>1</v>
      </c>
      <c r="J51" s="215"/>
    </row>
    <row r="52" spans="1:10" s="133" customFormat="1">
      <c r="A52" s="133" t="s">
        <v>30</v>
      </c>
      <c r="B52" s="133" t="s">
        <v>31</v>
      </c>
      <c r="C52" s="210">
        <f>'SCH M'!F59</f>
        <v>0.49066957543131612</v>
      </c>
      <c r="D52" s="210">
        <f>'SCH M'!G59</f>
        <v>0.19787440472070775</v>
      </c>
      <c r="E52" s="210">
        <f>'SCH M'!H59</f>
        <v>0.27972574010067663</v>
      </c>
      <c r="F52" s="210">
        <f>'SCH M'!I59</f>
        <v>3.1730279747299632E-2</v>
      </c>
      <c r="G52" s="210">
        <f>'SCH M'!J59</f>
        <v>0</v>
      </c>
      <c r="H52" s="211">
        <f t="shared" si="1"/>
        <v>1</v>
      </c>
      <c r="J52" s="215"/>
    </row>
    <row r="53" spans="1:10" s="133" customFormat="1">
      <c r="A53" s="133" t="s">
        <v>220</v>
      </c>
      <c r="B53" s="133" t="s">
        <v>221</v>
      </c>
      <c r="C53" s="210">
        <f>+'SCH M'!F$138</f>
        <v>0.6266581306376201</v>
      </c>
      <c r="D53" s="210">
        <f>+'SCH M'!G$138</f>
        <v>0.1713874271082311</v>
      </c>
      <c r="E53" s="210">
        <f>+'SCH M'!H$138</f>
        <v>0.18913199983408518</v>
      </c>
      <c r="F53" s="210">
        <f>+'SCH M'!I$138</f>
        <v>-9.4709158502401052E-4</v>
      </c>
      <c r="G53" s="210">
        <f>+'SCH M'!J$138</f>
        <v>1.376953400508733E-2</v>
      </c>
      <c r="H53" s="211">
        <f t="shared" si="1"/>
        <v>1</v>
      </c>
      <c r="J53" s="215"/>
    </row>
    <row r="54" spans="1:10" s="217" customFormat="1">
      <c r="A54" s="217" t="s">
        <v>157</v>
      </c>
      <c r="B54" s="217" t="s">
        <v>222</v>
      </c>
      <c r="C54" s="218">
        <v>1</v>
      </c>
      <c r="D54" s="218">
        <v>0</v>
      </c>
      <c r="E54" s="218">
        <v>0</v>
      </c>
      <c r="F54" s="218">
        <v>0</v>
      </c>
      <c r="G54" s="218">
        <v>0</v>
      </c>
      <c r="H54" s="219">
        <f t="shared" si="1"/>
        <v>1</v>
      </c>
      <c r="J54" s="221"/>
    </row>
    <row r="55" spans="1:10" s="133" customFormat="1">
      <c r="A55" s="133" t="s">
        <v>152</v>
      </c>
      <c r="B55" s="133" t="s">
        <v>0</v>
      </c>
      <c r="C55" s="210">
        <f>'SCH M'!F80</f>
        <v>0.92275013249319782</v>
      </c>
      <c r="D55" s="210">
        <f>'SCH M'!G80</f>
        <v>0.11315372197803431</v>
      </c>
      <c r="E55" s="210">
        <f>'SCH M'!H80</f>
        <v>2.3472705995517314E-2</v>
      </c>
      <c r="F55" s="210">
        <f>'SCH M'!I80</f>
        <v>-5.9376560466749377E-2</v>
      </c>
      <c r="G55" s="210">
        <f>'SCH M'!J80</f>
        <v>0</v>
      </c>
      <c r="H55" s="211">
        <f t="shared" si="1"/>
        <v>1</v>
      </c>
      <c r="J55" s="215"/>
    </row>
    <row r="56" spans="1:10" s="133" customFormat="1">
      <c r="A56" s="133" t="s">
        <v>34</v>
      </c>
      <c r="B56" s="133" t="s">
        <v>35</v>
      </c>
      <c r="C56" s="210">
        <f>'SCH M'!F79</f>
        <v>0.44037754002527002</v>
      </c>
      <c r="D56" s="210">
        <f>'SCH M'!G79</f>
        <v>7.3398818350960335E-2</v>
      </c>
      <c r="E56" s="210">
        <f>'SCH M'!H79</f>
        <v>0.34017577812492666</v>
      </c>
      <c r="F56" s="210">
        <f>'SCH M'!I79</f>
        <v>0.14604786349884299</v>
      </c>
      <c r="G56" s="210">
        <f>'SCH M'!J79</f>
        <v>0</v>
      </c>
      <c r="H56" s="211">
        <f t="shared" si="1"/>
        <v>1</v>
      </c>
      <c r="J56" s="215"/>
    </row>
    <row r="57" spans="1:10" s="133" customFormat="1">
      <c r="A57" s="133" t="s">
        <v>154</v>
      </c>
      <c r="B57" s="133" t="s">
        <v>1</v>
      </c>
      <c r="C57" s="210">
        <f>'SCH M'!F131</f>
        <v>0.62654238252431449</v>
      </c>
      <c r="D57" s="210">
        <f>'SCH M'!G131</f>
        <v>0.17141019179440087</v>
      </c>
      <c r="E57" s="210">
        <f>'SCH M'!H131</f>
        <v>0.18919675926896756</v>
      </c>
      <c r="F57" s="210">
        <f>'SCH M'!I131</f>
        <v>-9.2425037100226802E-4</v>
      </c>
      <c r="G57" s="210">
        <f>'SCH M'!J131</f>
        <v>1.377491678331909E-2</v>
      </c>
      <c r="H57" s="211">
        <f t="shared" si="1"/>
        <v>1</v>
      </c>
      <c r="J57" s="215"/>
    </row>
    <row r="58" spans="1:10" s="133" customFormat="1">
      <c r="A58" s="133" t="s">
        <v>36</v>
      </c>
      <c r="B58" s="133" t="s">
        <v>37</v>
      </c>
      <c r="C58" s="210">
        <f>'SCH M'!F122</f>
        <v>0.50462876088753772</v>
      </c>
      <c r="D58" s="210">
        <f>'SCH M'!G122</f>
        <v>0.23242416555019974</v>
      </c>
      <c r="E58" s="210">
        <f>'SCH M'!H122</f>
        <v>0.26294707356226266</v>
      </c>
      <c r="F58" s="210">
        <f>'SCH M'!I122</f>
        <v>0</v>
      </c>
      <c r="G58" s="210">
        <f>'SCH M'!J122</f>
        <v>0</v>
      </c>
      <c r="H58" s="211">
        <f t="shared" si="1"/>
        <v>1</v>
      </c>
      <c r="J58" s="215"/>
    </row>
    <row r="59" spans="1:10" s="133" customFormat="1">
      <c r="A59" s="133" t="s">
        <v>38</v>
      </c>
      <c r="B59" s="133" t="s">
        <v>39</v>
      </c>
      <c r="C59" s="210">
        <f>'SCH M'!F124</f>
        <v>0.99763248413758299</v>
      </c>
      <c r="D59" s="210">
        <f>'SCH M'!G124</f>
        <v>2.3675158624169791E-3</v>
      </c>
      <c r="E59" s="210">
        <f>'SCH M'!H124</f>
        <v>0</v>
      </c>
      <c r="F59" s="210">
        <f>'SCH M'!I124</f>
        <v>0</v>
      </c>
      <c r="G59" s="210">
        <f>'SCH M'!J124</f>
        <v>0</v>
      </c>
      <c r="H59" s="211">
        <f t="shared" si="1"/>
        <v>1</v>
      </c>
      <c r="J59" s="215"/>
    </row>
    <row r="60" spans="1:10" s="133" customFormat="1">
      <c r="A60" s="133" t="s">
        <v>44</v>
      </c>
      <c r="B60" s="133" t="s">
        <v>45</v>
      </c>
      <c r="C60" s="210">
        <f>'SCH M'!F130</f>
        <v>-1.7836583322750756</v>
      </c>
      <c r="D60" s="210">
        <f>'SCH M'!G130</f>
        <v>1.5792541031604099</v>
      </c>
      <c r="E60" s="210">
        <f>'SCH M'!H130</f>
        <v>1.7934989900253582</v>
      </c>
      <c r="F60" s="210">
        <f>'SCH M'!I130</f>
        <v>3.790019146047309E-2</v>
      </c>
      <c r="G60" s="210">
        <f>'SCH M'!J130</f>
        <v>-0.6269949523711642</v>
      </c>
      <c r="H60" s="211">
        <f t="shared" si="1"/>
        <v>1</v>
      </c>
      <c r="J60" s="215"/>
    </row>
    <row r="61" spans="1:10" s="133" customFormat="1">
      <c r="A61" s="133" t="s">
        <v>40</v>
      </c>
      <c r="B61" s="133" t="s">
        <v>41</v>
      </c>
      <c r="C61" s="210">
        <f>'SCH M'!F126</f>
        <v>0.50462876088753772</v>
      </c>
      <c r="D61" s="210">
        <f>'SCH M'!G126</f>
        <v>0.23242416555019968</v>
      </c>
      <c r="E61" s="210">
        <f>'SCH M'!H126</f>
        <v>0.26294707356226266</v>
      </c>
      <c r="F61" s="210">
        <f>'SCH M'!I126</f>
        <v>0</v>
      </c>
      <c r="G61" s="210">
        <f>'SCH M'!J126</f>
        <v>0</v>
      </c>
      <c r="H61" s="211">
        <f t="shared" si="1"/>
        <v>1</v>
      </c>
      <c r="J61" s="215"/>
    </row>
    <row r="62" spans="1:10" s="133" customFormat="1">
      <c r="A62" s="133" t="s">
        <v>42</v>
      </c>
      <c r="B62" s="133" t="s">
        <v>43</v>
      </c>
      <c r="C62" s="210">
        <f>'SCH M'!F127</f>
        <v>0.50041867551388475</v>
      </c>
      <c r="D62" s="210">
        <f>'SCH M'!G127</f>
        <v>-8.2407237908806129E-3</v>
      </c>
      <c r="E62" s="210">
        <f>'SCH M'!H127</f>
        <v>0.21255653786767501</v>
      </c>
      <c r="F62" s="210">
        <f>'SCH M'!I127</f>
        <v>0.29526551040932097</v>
      </c>
      <c r="G62" s="210">
        <f>'SCH M'!J127</f>
        <v>0</v>
      </c>
      <c r="H62" s="211">
        <f t="shared" si="1"/>
        <v>1</v>
      </c>
      <c r="J62" s="215"/>
    </row>
    <row r="63" spans="1:10" s="133" customFormat="1">
      <c r="A63" s="133" t="s">
        <v>65</v>
      </c>
      <c r="B63" s="133" t="s">
        <v>61</v>
      </c>
      <c r="C63" s="210">
        <f>'FORM 1'!C14</f>
        <v>0</v>
      </c>
      <c r="D63" s="210">
        <f>'FORM 1'!D14</f>
        <v>1</v>
      </c>
      <c r="E63" s="210">
        <f>'FORM 1'!E14</f>
        <v>0</v>
      </c>
      <c r="F63" s="210">
        <f>'FORM 1'!F14</f>
        <v>0</v>
      </c>
      <c r="G63" s="210">
        <f>'FORM 1'!G14</f>
        <v>0</v>
      </c>
      <c r="H63" s="211">
        <f>ROUND(SUM(C63:G63),4)</f>
        <v>1</v>
      </c>
      <c r="J63" s="215"/>
    </row>
    <row r="64" spans="1:10" s="133" customFormat="1">
      <c r="A64" s="133" t="s">
        <v>226</v>
      </c>
      <c r="B64" s="133" t="s">
        <v>229</v>
      </c>
      <c r="C64" s="210">
        <f>+'TAX DEPR'!C$24</f>
        <v>0.59356537084907768</v>
      </c>
      <c r="D64" s="210">
        <f>+'TAX DEPR'!D$24</f>
        <v>0.19147339699453164</v>
      </c>
      <c r="E64" s="210">
        <f>+'TAX DEPR'!E$24</f>
        <v>0.21079358449280244</v>
      </c>
      <c r="F64" s="210">
        <f>+'TAX DEPR'!F$24</f>
        <v>4.1676476635882408E-3</v>
      </c>
      <c r="G64" s="210">
        <f>+'TAX DEPR'!G$24</f>
        <v>0</v>
      </c>
      <c r="H64" s="211">
        <f>ROUND(SUM(C64:G64),4)</f>
        <v>1</v>
      </c>
      <c r="I64" s="197"/>
      <c r="J64" s="215"/>
    </row>
    <row r="65" spans="1:10" s="133" customFormat="1">
      <c r="A65" s="133" t="s">
        <v>92</v>
      </c>
      <c r="B65" s="133" t="s">
        <v>2</v>
      </c>
      <c r="C65" s="210">
        <f>'FORM 1'!C18</f>
        <v>0</v>
      </c>
      <c r="D65" s="210">
        <f>'FORM 1'!D18</f>
        <v>0.46919188519427402</v>
      </c>
      <c r="E65" s="210">
        <f>'FORM 1'!E18</f>
        <v>0.53080811480572609</v>
      </c>
      <c r="F65" s="210">
        <f>'FORM 1'!F18</f>
        <v>0</v>
      </c>
      <c r="G65" s="210">
        <f>'FORM 1'!G18</f>
        <v>0</v>
      </c>
      <c r="H65" s="211">
        <f>ROUND(SUM(C65:G65),4)</f>
        <v>1</v>
      </c>
      <c r="J65" s="215"/>
    </row>
    <row r="66" spans="1:10" s="133" customFormat="1">
      <c r="A66" s="216"/>
      <c r="B66" s="216"/>
      <c r="C66" s="122"/>
      <c r="D66" s="122"/>
      <c r="E66" s="122"/>
      <c r="F66" s="122"/>
      <c r="G66" s="122"/>
      <c r="H66" s="122"/>
    </row>
    <row r="67" spans="1:10" s="133" customFormat="1">
      <c r="C67" s="166"/>
      <c r="D67" s="166"/>
      <c r="E67" s="166"/>
      <c r="F67" s="166"/>
      <c r="G67" s="166"/>
      <c r="H67" s="166"/>
      <c r="J67" s="134"/>
    </row>
    <row r="69" spans="1:10">
      <c r="C69" s="167"/>
      <c r="H69" s="168"/>
    </row>
    <row r="70" spans="1:10">
      <c r="I70" s="164"/>
    </row>
    <row r="71" spans="1:10">
      <c r="I71" s="164"/>
    </row>
    <row r="72" spans="1:10">
      <c r="I72" s="164"/>
    </row>
    <row r="73" spans="1:10">
      <c r="I73" s="164"/>
    </row>
    <row r="74" spans="1:10">
      <c r="I74" s="164"/>
    </row>
    <row r="75" spans="1:10">
      <c r="D75" s="169"/>
      <c r="E75" s="169"/>
      <c r="H75" s="169"/>
      <c r="I75" s="169"/>
    </row>
  </sheetData>
  <customSheetViews>
    <customSheetView guid="{20A63875-964B-11D5-AAED-0004762A99E9}" scale="75" showRuler="0" topLeftCell="A7">
      <pane ySplit="1" topLeftCell="A16" activePane="bottomLeft" state="frozen"/>
      <selection pane="bottomLeft" activeCell="J24" sqref="J24"/>
      <pageMargins left="0.75" right="0.75" top="1" bottom="1" header="0.5" footer="0.5"/>
      <printOptions horizontalCentered="1"/>
      <pageSetup scale="85" orientation="landscape" horizontalDpi="0" r:id="rId1"/>
      <headerFooter alignWithMargins="0">
        <oddFooter>&amp;L&amp;D&amp;C&amp;A&amp;R&amp;F</oddFooter>
      </headerFooter>
    </customSheetView>
  </customSheetViews>
  <mergeCells count="1">
    <mergeCell ref="A3:H3"/>
  </mergeCells>
  <phoneticPr fontId="0" type="noConversion"/>
  <printOptions horizontalCentered="1"/>
  <pageMargins left="0.12" right="0.16" top="0.25" bottom="0.71" header="0.24" footer="0.34"/>
  <pageSetup scale="83" orientation="landscape" r:id="rId2"/>
  <headerFooter alignWithMargins="0">
    <oddFooter>&amp;LExhibit RMP_____(CCP-3)&amp;R&amp;F&amp;CTab 3 - Page  2 of 16</oddFooter>
  </headerFooter>
  <rowBreaks count="1" manualBreakCount="1">
    <brk id="4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 enableFormatConditionsCalculation="0"/>
  <dimension ref="A1:R96"/>
  <sheetViews>
    <sheetView zoomScale="90" workbookViewId="0"/>
  </sheetViews>
  <sheetFormatPr defaultRowHeight="12.75"/>
  <cols>
    <col min="1" max="1" width="11.28515625" style="40" bestFit="1" customWidth="1"/>
    <col min="2" max="2" width="15" style="40" customWidth="1"/>
    <col min="3" max="3" width="10.85546875" style="40" customWidth="1"/>
    <col min="4" max="4" width="9.140625" style="40"/>
    <col min="5" max="5" width="14.28515625" style="40" bestFit="1" customWidth="1"/>
    <col min="6" max="7" width="15.7109375" style="40" customWidth="1"/>
    <col min="8" max="8" width="15.140625" style="40" bestFit="1" customWidth="1"/>
    <col min="9" max="10" width="15.7109375" style="40" customWidth="1"/>
    <col min="11" max="11" width="12.5703125" style="40" bestFit="1" customWidth="1"/>
    <col min="12" max="16384" width="9.140625" style="40"/>
  </cols>
  <sheetData>
    <row r="1" spans="1:11">
      <c r="B1" s="281" t="str">
        <f>+'TOTAL FUNCFAC'!A1</f>
        <v>PacifiCorp</v>
      </c>
      <c r="C1" s="281"/>
      <c r="D1" s="281"/>
      <c r="E1" s="281"/>
      <c r="F1" s="281"/>
      <c r="G1" s="281"/>
      <c r="H1" s="281"/>
      <c r="I1" s="281"/>
      <c r="J1" s="281"/>
    </row>
    <row r="2" spans="1:11">
      <c r="B2" s="281" t="str">
        <f>+'TOTAL FUNCFAC'!A2</f>
        <v>12 Months Ended June 2013</v>
      </c>
      <c r="C2" s="281"/>
      <c r="D2" s="281"/>
      <c r="E2" s="281"/>
      <c r="F2" s="281"/>
      <c r="G2" s="281"/>
      <c r="H2" s="281"/>
      <c r="I2" s="281"/>
      <c r="J2" s="281"/>
    </row>
    <row r="3" spans="1:11">
      <c r="B3" s="281" t="s">
        <v>297</v>
      </c>
      <c r="C3" s="281"/>
      <c r="D3" s="281"/>
      <c r="E3" s="281"/>
      <c r="F3" s="281"/>
      <c r="G3" s="281"/>
      <c r="H3" s="281"/>
      <c r="I3" s="281"/>
      <c r="J3" s="281"/>
    </row>
    <row r="4" spans="1:11">
      <c r="B4" s="198"/>
      <c r="C4" s="198"/>
      <c r="D4" s="198"/>
      <c r="E4" s="198"/>
      <c r="F4" s="198"/>
      <c r="G4" s="198"/>
      <c r="H4" s="198"/>
      <c r="I4" s="198"/>
      <c r="J4" s="198"/>
    </row>
    <row r="5" spans="1:11">
      <c r="B5" s="77" t="s">
        <v>94</v>
      </c>
      <c r="C5" s="77" t="s">
        <v>75</v>
      </c>
      <c r="D5" s="77" t="s">
        <v>76</v>
      </c>
      <c r="E5" s="77" t="s">
        <v>68</v>
      </c>
      <c r="F5" s="24" t="s">
        <v>60</v>
      </c>
      <c r="G5" s="24" t="s">
        <v>61</v>
      </c>
      <c r="H5" s="24" t="s">
        <v>66</v>
      </c>
      <c r="I5" s="24" t="s">
        <v>69</v>
      </c>
      <c r="J5" s="24" t="s">
        <v>70</v>
      </c>
      <c r="K5" s="252"/>
    </row>
    <row r="6" spans="1:11">
      <c r="A6" s="40" t="str">
        <f t="shared" ref="A6:A28" si="0">"RA"&amp;"-"&amp;C6</f>
        <v>RA-SE</v>
      </c>
      <c r="B6" s="266" t="s">
        <v>3</v>
      </c>
      <c r="C6" s="193" t="s">
        <v>81</v>
      </c>
      <c r="D6" s="193" t="s">
        <v>64</v>
      </c>
      <c r="E6" s="239">
        <v>0</v>
      </c>
      <c r="F6" s="267">
        <f t="shared" ref="F6:F28" si="1">VLOOKUP($D6,$D$69:$J$81,3,FALSE)*$E6</f>
        <v>0</v>
      </c>
      <c r="G6" s="267">
        <f t="shared" ref="G6:G28" si="2">VLOOKUP($D6,$D$69:$J$81,4,FALSE)*$E6</f>
        <v>0</v>
      </c>
      <c r="H6" s="267">
        <f t="shared" ref="H6:H28" si="3">VLOOKUP($D6,$D$69:$J$81,5,FALSE)*$E6</f>
        <v>0</v>
      </c>
      <c r="I6" s="267">
        <f t="shared" ref="I6:I28" si="4">VLOOKUP($D6,$D$69:$J$81,6,FALSE)*$E6</f>
        <v>0</v>
      </c>
      <c r="J6" s="267">
        <f t="shared" ref="J6:J28" si="5">VLOOKUP($D6,$D$69:$J$81,7,FALSE)*$E6</f>
        <v>0</v>
      </c>
    </row>
    <row r="7" spans="1:11">
      <c r="A7" s="40" t="str">
        <f t="shared" si="0"/>
        <v>RA-SG</v>
      </c>
      <c r="B7" s="266" t="s">
        <v>3</v>
      </c>
      <c r="C7" s="193" t="s">
        <v>83</v>
      </c>
      <c r="D7" s="193" t="s">
        <v>64</v>
      </c>
      <c r="E7" s="239">
        <v>0</v>
      </c>
      <c r="F7" s="267">
        <f t="shared" si="1"/>
        <v>0</v>
      </c>
      <c r="G7" s="267">
        <f t="shared" si="2"/>
        <v>0</v>
      </c>
      <c r="H7" s="267">
        <f t="shared" si="3"/>
        <v>0</v>
      </c>
      <c r="I7" s="267">
        <f t="shared" si="4"/>
        <v>0</v>
      </c>
      <c r="J7" s="267">
        <f t="shared" si="5"/>
        <v>0</v>
      </c>
    </row>
    <row r="8" spans="1:11">
      <c r="A8" s="40" t="str">
        <f t="shared" si="0"/>
        <v>RA-SGCT</v>
      </c>
      <c r="B8" s="266" t="s">
        <v>3</v>
      </c>
      <c r="C8" s="193" t="s">
        <v>95</v>
      </c>
      <c r="D8" s="193" t="s">
        <v>64</v>
      </c>
      <c r="E8" s="239">
        <v>5144.4480999999996</v>
      </c>
      <c r="F8" s="267">
        <f t="shared" si="1"/>
        <v>5144.4480999999996</v>
      </c>
      <c r="G8" s="267">
        <f t="shared" si="2"/>
        <v>0</v>
      </c>
      <c r="H8" s="267">
        <f t="shared" si="3"/>
        <v>0</v>
      </c>
      <c r="I8" s="267">
        <f t="shared" si="4"/>
        <v>0</v>
      </c>
      <c r="J8" s="267">
        <f t="shared" si="5"/>
        <v>0</v>
      </c>
    </row>
    <row r="9" spans="1:11">
      <c r="A9" s="40" t="str">
        <f t="shared" si="0"/>
        <v>RA-SG-P</v>
      </c>
      <c r="B9" s="266" t="s">
        <v>3</v>
      </c>
      <c r="C9" s="193" t="s">
        <v>263</v>
      </c>
      <c r="D9" s="193" t="s">
        <v>64</v>
      </c>
      <c r="E9" s="239">
        <v>0</v>
      </c>
      <c r="F9" s="267">
        <f t="shared" si="1"/>
        <v>0</v>
      </c>
      <c r="G9" s="267">
        <f t="shared" si="2"/>
        <v>0</v>
      </c>
      <c r="H9" s="267">
        <f t="shared" si="3"/>
        <v>0</v>
      </c>
      <c r="I9" s="267">
        <f t="shared" si="4"/>
        <v>0</v>
      </c>
      <c r="J9" s="267">
        <f t="shared" si="5"/>
        <v>0</v>
      </c>
    </row>
    <row r="10" spans="1:11">
      <c r="A10" s="40" t="str">
        <f t="shared" si="0"/>
        <v>RA-SO</v>
      </c>
      <c r="B10" s="266" t="s">
        <v>3</v>
      </c>
      <c r="C10" s="193" t="s">
        <v>85</v>
      </c>
      <c r="D10" s="193" t="s">
        <v>70</v>
      </c>
      <c r="E10" s="239">
        <v>6812.1279438461443</v>
      </c>
      <c r="F10" s="267">
        <f t="shared" si="1"/>
        <v>0</v>
      </c>
      <c r="G10" s="267">
        <f t="shared" si="2"/>
        <v>0</v>
      </c>
      <c r="H10" s="267">
        <f t="shared" si="3"/>
        <v>0</v>
      </c>
      <c r="I10" s="267">
        <f t="shared" si="4"/>
        <v>0</v>
      </c>
      <c r="J10" s="267">
        <f t="shared" si="5"/>
        <v>6812.1279438461443</v>
      </c>
    </row>
    <row r="11" spans="1:11">
      <c r="A11" s="40" t="str">
        <f t="shared" si="0"/>
        <v>RA-SO</v>
      </c>
      <c r="B11" s="266" t="s">
        <v>3</v>
      </c>
      <c r="C11" s="193" t="s">
        <v>85</v>
      </c>
      <c r="D11" s="193" t="s">
        <v>66</v>
      </c>
      <c r="E11" s="239">
        <v>0</v>
      </c>
      <c r="F11" s="267">
        <f t="shared" si="1"/>
        <v>0</v>
      </c>
      <c r="G11" s="267">
        <f t="shared" si="2"/>
        <v>0</v>
      </c>
      <c r="H11" s="267">
        <f t="shared" si="3"/>
        <v>0</v>
      </c>
      <c r="I11" s="267">
        <f t="shared" si="4"/>
        <v>0</v>
      </c>
      <c r="J11" s="267">
        <f t="shared" si="5"/>
        <v>0</v>
      </c>
    </row>
    <row r="12" spans="1:11">
      <c r="A12" s="40" t="str">
        <f t="shared" si="0"/>
        <v>RA-SO</v>
      </c>
      <c r="B12" s="266" t="s">
        <v>3</v>
      </c>
      <c r="C12" s="193" t="s">
        <v>85</v>
      </c>
      <c r="D12" s="193" t="s">
        <v>96</v>
      </c>
      <c r="E12" s="239">
        <v>4652.5384392307642</v>
      </c>
      <c r="F12" s="267">
        <f t="shared" si="1"/>
        <v>1395.7615317692291</v>
      </c>
      <c r="G12" s="267">
        <f t="shared" si="2"/>
        <v>465.25384392307643</v>
      </c>
      <c r="H12" s="267">
        <f t="shared" si="3"/>
        <v>2791.5230635384582</v>
      </c>
      <c r="I12" s="267">
        <f t="shared" si="4"/>
        <v>0</v>
      </c>
      <c r="J12" s="267">
        <f t="shared" si="5"/>
        <v>0</v>
      </c>
    </row>
    <row r="13" spans="1:11">
      <c r="A13" s="40" t="str">
        <f t="shared" si="0"/>
        <v>RA-SO</v>
      </c>
      <c r="B13" s="266" t="s">
        <v>3</v>
      </c>
      <c r="C13" s="193" t="s">
        <v>85</v>
      </c>
      <c r="D13" s="193" t="s">
        <v>64</v>
      </c>
      <c r="E13" s="239">
        <v>0</v>
      </c>
      <c r="F13" s="267">
        <f t="shared" si="1"/>
        <v>0</v>
      </c>
      <c r="G13" s="267">
        <f t="shared" si="2"/>
        <v>0</v>
      </c>
      <c r="H13" s="267">
        <f t="shared" si="3"/>
        <v>0</v>
      </c>
      <c r="I13" s="267">
        <f t="shared" si="4"/>
        <v>0</v>
      </c>
      <c r="J13" s="267">
        <f t="shared" si="5"/>
        <v>0</v>
      </c>
    </row>
    <row r="14" spans="1:11">
      <c r="A14" s="40" t="str">
        <f t="shared" si="0"/>
        <v>RA-SO</v>
      </c>
      <c r="B14" s="266" t="s">
        <v>3</v>
      </c>
      <c r="C14" s="193" t="s">
        <v>85</v>
      </c>
      <c r="D14" s="193" t="s">
        <v>92</v>
      </c>
      <c r="E14" s="239">
        <v>0</v>
      </c>
      <c r="F14" s="267">
        <f t="shared" si="1"/>
        <v>0</v>
      </c>
      <c r="G14" s="267">
        <f t="shared" si="2"/>
        <v>0</v>
      </c>
      <c r="H14" s="267">
        <f t="shared" si="3"/>
        <v>0</v>
      </c>
      <c r="I14" s="267">
        <f t="shared" si="4"/>
        <v>0</v>
      </c>
      <c r="J14" s="267">
        <f t="shared" si="5"/>
        <v>0</v>
      </c>
    </row>
    <row r="15" spans="1:11">
      <c r="A15" s="40" t="str">
        <f>"RA"&amp;"-"&amp;C15</f>
        <v>RA-OTHER</v>
      </c>
      <c r="B15" s="266" t="s">
        <v>3</v>
      </c>
      <c r="C15" s="193" t="s">
        <v>288</v>
      </c>
      <c r="D15" s="193" t="s">
        <v>69</v>
      </c>
      <c r="E15" s="239">
        <v>-7750.6759207680461</v>
      </c>
      <c r="F15" s="267">
        <f t="shared" si="1"/>
        <v>0</v>
      </c>
      <c r="G15" s="267">
        <f t="shared" si="2"/>
        <v>0</v>
      </c>
      <c r="H15" s="267">
        <f t="shared" si="3"/>
        <v>0</v>
      </c>
      <c r="I15" s="267">
        <f t="shared" si="4"/>
        <v>-7750.6759207680461</v>
      </c>
      <c r="J15" s="267">
        <f t="shared" si="5"/>
        <v>0</v>
      </c>
    </row>
    <row r="16" spans="1:11">
      <c r="A16" s="40" t="str">
        <f t="shared" ref="A16:A21" si="6">"RA"&amp;"-"&amp;C16</f>
        <v>RA-OTHER</v>
      </c>
      <c r="B16" s="266" t="s">
        <v>3</v>
      </c>
      <c r="C16" s="193" t="s">
        <v>288</v>
      </c>
      <c r="D16" s="193" t="s">
        <v>70</v>
      </c>
      <c r="E16" s="239">
        <v>9106.8949115384585</v>
      </c>
      <c r="F16" s="267">
        <f t="shared" si="1"/>
        <v>0</v>
      </c>
      <c r="G16" s="267">
        <f t="shared" si="2"/>
        <v>0</v>
      </c>
      <c r="H16" s="267">
        <f t="shared" si="3"/>
        <v>0</v>
      </c>
      <c r="I16" s="267">
        <f t="shared" si="4"/>
        <v>0</v>
      </c>
      <c r="J16" s="267">
        <f t="shared" si="5"/>
        <v>9106.8949115384585</v>
      </c>
    </row>
    <row r="17" spans="1:18">
      <c r="A17" s="40" t="str">
        <f t="shared" si="6"/>
        <v>RA-OTHER</v>
      </c>
      <c r="B17" s="266" t="s">
        <v>3</v>
      </c>
      <c r="C17" s="193" t="s">
        <v>288</v>
      </c>
      <c r="D17" s="193" t="s">
        <v>98</v>
      </c>
      <c r="E17" s="239">
        <v>9008.9115307692227</v>
      </c>
      <c r="F17" s="267">
        <f t="shared" si="1"/>
        <v>3967.3222982254401</v>
      </c>
      <c r="G17" s="267">
        <f t="shared" si="2"/>
        <v>661.24346098680223</v>
      </c>
      <c r="H17" s="267">
        <f t="shared" si="3"/>
        <v>3064.6134900380443</v>
      </c>
      <c r="I17" s="267">
        <f t="shared" si="4"/>
        <v>1315.7322815189361</v>
      </c>
      <c r="J17" s="267">
        <f t="shared" si="5"/>
        <v>0</v>
      </c>
    </row>
    <row r="18" spans="1:18">
      <c r="A18" s="40" t="str">
        <f t="shared" si="6"/>
        <v>RA-OTHER</v>
      </c>
      <c r="B18" s="266" t="s">
        <v>3</v>
      </c>
      <c r="C18" s="193" t="s">
        <v>288</v>
      </c>
      <c r="D18" s="193" t="s">
        <v>64</v>
      </c>
      <c r="E18" s="239">
        <v>170988.52850076882</v>
      </c>
      <c r="F18" s="267">
        <f t="shared" si="1"/>
        <v>170988.52850076882</v>
      </c>
      <c r="G18" s="267">
        <f t="shared" si="2"/>
        <v>0</v>
      </c>
      <c r="H18" s="267">
        <f t="shared" si="3"/>
        <v>0</v>
      </c>
      <c r="I18" s="267">
        <f t="shared" si="4"/>
        <v>0</v>
      </c>
      <c r="J18" s="267">
        <f t="shared" si="5"/>
        <v>0</v>
      </c>
    </row>
    <row r="19" spans="1:18">
      <c r="A19" s="40" t="str">
        <f t="shared" si="6"/>
        <v>RA-OTHER</v>
      </c>
      <c r="B19" s="266" t="s">
        <v>3</v>
      </c>
      <c r="C19" s="193" t="s">
        <v>288</v>
      </c>
      <c r="D19" s="193" t="s">
        <v>96</v>
      </c>
      <c r="E19" s="239">
        <v>12.604734615384601</v>
      </c>
      <c r="F19" s="267">
        <f t="shared" si="1"/>
        <v>3.7814203846153802</v>
      </c>
      <c r="G19" s="267">
        <f t="shared" si="2"/>
        <v>1.2604734615384601</v>
      </c>
      <c r="H19" s="267">
        <f t="shared" si="3"/>
        <v>7.5628407692307604</v>
      </c>
      <c r="I19" s="267">
        <f t="shared" si="4"/>
        <v>0</v>
      </c>
      <c r="J19" s="267">
        <f t="shared" si="5"/>
        <v>0</v>
      </c>
    </row>
    <row r="20" spans="1:18">
      <c r="A20" s="40" t="str">
        <f t="shared" si="6"/>
        <v>RA-OTHER</v>
      </c>
      <c r="B20" s="266" t="s">
        <v>3</v>
      </c>
      <c r="C20" s="193" t="s">
        <v>288</v>
      </c>
      <c r="D20" s="193" t="s">
        <v>88</v>
      </c>
      <c r="E20" s="239">
        <v>149.64336538461529</v>
      </c>
      <c r="F20" s="267">
        <f t="shared" si="1"/>
        <v>75.514346049079464</v>
      </c>
      <c r="G20" s="267">
        <f t="shared" si="2"/>
        <v>34.780734329642847</v>
      </c>
      <c r="H20" s="267">
        <f t="shared" si="3"/>
        <v>39.34828500589299</v>
      </c>
      <c r="I20" s="267">
        <f t="shared" si="4"/>
        <v>0</v>
      </c>
      <c r="J20" s="267">
        <f t="shared" si="5"/>
        <v>0</v>
      </c>
    </row>
    <row r="21" spans="1:18">
      <c r="A21" s="40" t="str">
        <f t="shared" si="6"/>
        <v>RA-OTHER</v>
      </c>
      <c r="B21" s="266" t="s">
        <v>3</v>
      </c>
      <c r="C21" s="193" t="s">
        <v>288</v>
      </c>
      <c r="D21" s="193" t="s">
        <v>92</v>
      </c>
      <c r="E21" s="239">
        <v>3.0090576923076902</v>
      </c>
      <c r="F21" s="267">
        <f t="shared" si="1"/>
        <v>0</v>
      </c>
      <c r="G21" s="267">
        <f t="shared" si="2"/>
        <v>1.4118254513121768</v>
      </c>
      <c r="H21" s="267">
        <f t="shared" si="3"/>
        <v>1.5972322409955135</v>
      </c>
      <c r="I21" s="267">
        <f t="shared" si="4"/>
        <v>0</v>
      </c>
      <c r="J21" s="267">
        <f t="shared" si="5"/>
        <v>0</v>
      </c>
    </row>
    <row r="22" spans="1:18">
      <c r="A22" s="40" t="str">
        <f t="shared" si="0"/>
        <v>RA-TROJD</v>
      </c>
      <c r="B22" s="266" t="s">
        <v>3</v>
      </c>
      <c r="C22" s="193" t="s">
        <v>236</v>
      </c>
      <c r="D22" s="193" t="s">
        <v>64</v>
      </c>
      <c r="E22" s="239">
        <v>0</v>
      </c>
      <c r="F22" s="267">
        <f t="shared" si="1"/>
        <v>0</v>
      </c>
      <c r="G22" s="267">
        <f t="shared" si="2"/>
        <v>0</v>
      </c>
      <c r="H22" s="267">
        <f t="shared" si="3"/>
        <v>0</v>
      </c>
      <c r="I22" s="267">
        <f t="shared" si="4"/>
        <v>0</v>
      </c>
      <c r="J22" s="267">
        <f t="shared" si="5"/>
        <v>0</v>
      </c>
    </row>
    <row r="23" spans="1:18">
      <c r="A23" s="40" t="str">
        <f t="shared" si="0"/>
        <v>RA-TROJP</v>
      </c>
      <c r="B23" s="266" t="s">
        <v>3</v>
      </c>
      <c r="C23" s="193" t="s">
        <v>6</v>
      </c>
      <c r="D23" s="193" t="s">
        <v>64</v>
      </c>
      <c r="E23" s="239">
        <v>0</v>
      </c>
      <c r="F23" s="267">
        <f t="shared" si="1"/>
        <v>0</v>
      </c>
      <c r="G23" s="267">
        <f t="shared" si="2"/>
        <v>0</v>
      </c>
      <c r="H23" s="267">
        <f t="shared" si="3"/>
        <v>0</v>
      </c>
      <c r="I23" s="267">
        <f t="shared" si="4"/>
        <v>0</v>
      </c>
      <c r="J23" s="267">
        <f t="shared" si="5"/>
        <v>0</v>
      </c>
    </row>
    <row r="24" spans="1:18">
      <c r="A24" s="40" t="str">
        <f t="shared" si="0"/>
        <v>RA-SITUS</v>
      </c>
      <c r="B24" s="266" t="s">
        <v>3</v>
      </c>
      <c r="C24" s="193" t="s">
        <v>12</v>
      </c>
      <c r="D24" s="193" t="s">
        <v>70</v>
      </c>
      <c r="E24" s="239">
        <v>-825.36034153845958</v>
      </c>
      <c r="F24" s="267">
        <f t="shared" si="1"/>
        <v>0</v>
      </c>
      <c r="G24" s="267">
        <f t="shared" si="2"/>
        <v>0</v>
      </c>
      <c r="H24" s="267">
        <f t="shared" si="3"/>
        <v>0</v>
      </c>
      <c r="I24" s="267">
        <f t="shared" si="4"/>
        <v>0</v>
      </c>
      <c r="J24" s="267">
        <f t="shared" si="5"/>
        <v>-825.36034153845958</v>
      </c>
    </row>
    <row r="25" spans="1:18">
      <c r="A25" s="40" t="str">
        <f t="shared" si="0"/>
        <v>RA-SITUS</v>
      </c>
      <c r="B25" s="266" t="s">
        <v>3</v>
      </c>
      <c r="C25" s="193" t="s">
        <v>12</v>
      </c>
      <c r="D25" s="193" t="s">
        <v>98</v>
      </c>
      <c r="E25" s="239">
        <v>0</v>
      </c>
      <c r="F25" s="267">
        <f t="shared" si="1"/>
        <v>0</v>
      </c>
      <c r="G25" s="267">
        <f t="shared" si="2"/>
        <v>0</v>
      </c>
      <c r="H25" s="267">
        <f t="shared" si="3"/>
        <v>0</v>
      </c>
      <c r="I25" s="267">
        <f t="shared" si="4"/>
        <v>0</v>
      </c>
      <c r="J25" s="267">
        <f t="shared" si="5"/>
        <v>0</v>
      </c>
    </row>
    <row r="26" spans="1:18">
      <c r="A26" s="40" t="str">
        <f t="shared" si="0"/>
        <v>RA-SITUS</v>
      </c>
      <c r="B26" s="266" t="s">
        <v>3</v>
      </c>
      <c r="C26" s="193" t="s">
        <v>12</v>
      </c>
      <c r="D26" s="193" t="s">
        <v>64</v>
      </c>
      <c r="E26" s="239">
        <v>10428.632639230771</v>
      </c>
      <c r="F26" s="267">
        <f t="shared" si="1"/>
        <v>10428.632639230771</v>
      </c>
      <c r="G26" s="267">
        <f t="shared" si="2"/>
        <v>0</v>
      </c>
      <c r="H26" s="267">
        <f t="shared" si="3"/>
        <v>0</v>
      </c>
      <c r="I26" s="267">
        <f t="shared" si="4"/>
        <v>0</v>
      </c>
      <c r="J26" s="267">
        <f t="shared" si="5"/>
        <v>0</v>
      </c>
    </row>
    <row r="27" spans="1:18">
      <c r="A27" s="40" t="str">
        <f t="shared" si="0"/>
        <v>RA-SITUS</v>
      </c>
      <c r="B27" s="266" t="s">
        <v>3</v>
      </c>
      <c r="C27" s="193" t="s">
        <v>12</v>
      </c>
      <c r="D27" s="193" t="s">
        <v>88</v>
      </c>
      <c r="E27" s="239">
        <v>599.8338561538452</v>
      </c>
      <c r="F27" s="267">
        <f t="shared" si="1"/>
        <v>302.69341556930846</v>
      </c>
      <c r="G27" s="267">
        <f t="shared" si="2"/>
        <v>139.41588348531599</v>
      </c>
      <c r="H27" s="267">
        <f t="shared" si="3"/>
        <v>157.72455709922082</v>
      </c>
      <c r="I27" s="267">
        <f t="shared" si="4"/>
        <v>0</v>
      </c>
      <c r="J27" s="267">
        <f t="shared" si="5"/>
        <v>0</v>
      </c>
    </row>
    <row r="28" spans="1:18">
      <c r="A28" s="40" t="str">
        <f t="shared" si="0"/>
        <v>RA-SITUS</v>
      </c>
      <c r="B28" s="193" t="s">
        <v>3</v>
      </c>
      <c r="C28" s="193" t="s">
        <v>12</v>
      </c>
      <c r="D28" s="193" t="s">
        <v>69</v>
      </c>
      <c r="E28" s="239">
        <v>2654.7649669230755</v>
      </c>
      <c r="F28" s="267">
        <f t="shared" si="1"/>
        <v>0</v>
      </c>
      <c r="G28" s="267">
        <f t="shared" si="2"/>
        <v>0</v>
      </c>
      <c r="H28" s="267">
        <f t="shared" si="3"/>
        <v>0</v>
      </c>
      <c r="I28" s="267">
        <f t="shared" si="4"/>
        <v>2654.7649669230755</v>
      </c>
      <c r="J28" s="267">
        <f t="shared" si="5"/>
        <v>0</v>
      </c>
    </row>
    <row r="29" spans="1:18">
      <c r="A29" s="198"/>
      <c r="B29" s="135" t="s">
        <v>251</v>
      </c>
      <c r="E29" s="238">
        <f t="shared" ref="E29:J29" si="7">SUMIF($A:$A,"RA-SO",E:E)</f>
        <v>11464.666383076908</v>
      </c>
      <c r="F29" s="238">
        <f t="shared" si="7"/>
        <v>1395.7615317692291</v>
      </c>
      <c r="G29" s="238">
        <f t="shared" si="7"/>
        <v>465.25384392307643</v>
      </c>
      <c r="H29" s="238">
        <f t="shared" si="7"/>
        <v>2791.5230635384582</v>
      </c>
      <c r="I29" s="238">
        <f t="shared" si="7"/>
        <v>0</v>
      </c>
      <c r="J29" s="238">
        <f t="shared" si="7"/>
        <v>6812.1279438461443</v>
      </c>
      <c r="K29" s="198"/>
      <c r="L29" s="198"/>
      <c r="M29" s="198"/>
      <c r="N29" s="198"/>
      <c r="O29" s="198"/>
      <c r="P29" s="198"/>
      <c r="Q29" s="198"/>
      <c r="R29" s="198"/>
    </row>
    <row r="30" spans="1:18">
      <c r="A30" s="198"/>
      <c r="B30" s="135" t="s">
        <v>296</v>
      </c>
      <c r="E30" s="238">
        <f t="shared" ref="E30:J30" si="8">SUMIF($A:$A,"RA-OTHER",E:E)</f>
        <v>181518.91618000076</v>
      </c>
      <c r="F30" s="238">
        <f t="shared" si="8"/>
        <v>175035.14656542797</v>
      </c>
      <c r="G30" s="238">
        <f t="shared" si="8"/>
        <v>698.69649422929581</v>
      </c>
      <c r="H30" s="238">
        <f t="shared" si="8"/>
        <v>3113.1218480541638</v>
      </c>
      <c r="I30" s="238">
        <f t="shared" si="8"/>
        <v>-6434.9436392491098</v>
      </c>
      <c r="J30" s="238">
        <f t="shared" si="8"/>
        <v>9106.8949115384585</v>
      </c>
      <c r="K30" s="198"/>
      <c r="L30" s="198"/>
      <c r="M30" s="198"/>
      <c r="N30" s="198"/>
      <c r="O30" s="198"/>
      <c r="P30" s="198"/>
      <c r="Q30" s="198"/>
      <c r="R30" s="198"/>
    </row>
    <row r="31" spans="1:18">
      <c r="A31" s="198"/>
      <c r="B31" s="136" t="s">
        <v>264</v>
      </c>
      <c r="C31" s="198"/>
      <c r="D31" s="198"/>
      <c r="E31" s="238">
        <f t="shared" ref="E31:J31" si="9">SUMIF($A:$A,"RA-SITUS",E:E)</f>
        <v>12857.871120769232</v>
      </c>
      <c r="F31" s="238">
        <f t="shared" si="9"/>
        <v>10731.32605480008</v>
      </c>
      <c r="G31" s="238">
        <f t="shared" si="9"/>
        <v>139.41588348531599</v>
      </c>
      <c r="H31" s="238">
        <f t="shared" si="9"/>
        <v>157.72455709922082</v>
      </c>
      <c r="I31" s="238">
        <f t="shared" si="9"/>
        <v>2654.7649669230755</v>
      </c>
      <c r="J31" s="238">
        <f t="shared" si="9"/>
        <v>-825.36034153845958</v>
      </c>
      <c r="K31" s="198"/>
      <c r="L31" s="198"/>
      <c r="M31" s="198"/>
      <c r="N31" s="198"/>
      <c r="O31" s="198"/>
      <c r="P31" s="198"/>
      <c r="Q31" s="198"/>
      <c r="R31" s="198"/>
    </row>
    <row r="32" spans="1:18">
      <c r="A32" s="198"/>
      <c r="B32" s="136" t="s">
        <v>268</v>
      </c>
      <c r="C32" s="198"/>
      <c r="D32" s="198"/>
      <c r="E32" s="238">
        <f t="shared" ref="E32:J32" si="10">SUMIF($B:$B,"182M",E:E)</f>
        <v>210985.9017838469</v>
      </c>
      <c r="F32" s="238">
        <f t="shared" si="10"/>
        <v>192306.68225199729</v>
      </c>
      <c r="G32" s="238">
        <f t="shared" si="10"/>
        <v>1303.3662216376881</v>
      </c>
      <c r="H32" s="238">
        <f t="shared" si="10"/>
        <v>6062.3694686918425</v>
      </c>
      <c r="I32" s="238">
        <f t="shared" si="10"/>
        <v>-3780.1786723260343</v>
      </c>
      <c r="J32" s="238">
        <f t="shared" si="10"/>
        <v>15093.662513846142</v>
      </c>
      <c r="K32" s="198"/>
      <c r="L32" s="198"/>
      <c r="M32" s="198"/>
      <c r="N32" s="198"/>
      <c r="O32" s="198"/>
      <c r="P32" s="198"/>
      <c r="Q32" s="198"/>
      <c r="R32" s="198"/>
    </row>
    <row r="33" spans="1:11">
      <c r="B33" s="140" t="s">
        <v>97</v>
      </c>
      <c r="C33" s="193"/>
      <c r="D33" s="193"/>
      <c r="E33" s="141">
        <f>SUM(F33:J33)</f>
        <v>1</v>
      </c>
      <c r="F33" s="142">
        <f>F29/$E29</f>
        <v>0.12174462693738081</v>
      </c>
      <c r="G33" s="142">
        <f>G29/$E29</f>
        <v>4.0581542312460271E-2</v>
      </c>
      <c r="H33" s="142">
        <f>H29/$E29</f>
        <v>0.24348925387476161</v>
      </c>
      <c r="I33" s="142">
        <f>I29/$E29</f>
        <v>0</v>
      </c>
      <c r="J33" s="142">
        <f>J29/$E29</f>
        <v>0.59418457687539727</v>
      </c>
    </row>
    <row r="34" spans="1:11">
      <c r="B34" s="140" t="s">
        <v>99</v>
      </c>
      <c r="C34" s="193"/>
      <c r="D34" s="193"/>
      <c r="E34" s="141">
        <f>SUM(F34:J34)</f>
        <v>0.99999999999999989</v>
      </c>
      <c r="F34" s="142">
        <f>F31/$E31</f>
        <v>0.8346114184848098</v>
      </c>
      <c r="G34" s="142">
        <f>G31/$E31</f>
        <v>1.0842843436198272E-2</v>
      </c>
      <c r="H34" s="142">
        <f>H31/$E31</f>
        <v>1.2266770728822238E-2</v>
      </c>
      <c r="I34" s="142">
        <f>I31/$E31</f>
        <v>0.20647002462443814</v>
      </c>
      <c r="J34" s="142">
        <f>J31/$E31</f>
        <v>-6.4191057274268409E-2</v>
      </c>
      <c r="K34" s="268"/>
    </row>
    <row r="35" spans="1:11">
      <c r="B35" s="140"/>
      <c r="C35" s="193"/>
      <c r="D35" s="193"/>
      <c r="E35" s="141"/>
      <c r="F35" s="142"/>
      <c r="G35" s="142"/>
      <c r="H35" s="142"/>
      <c r="I35" s="142"/>
      <c r="J35" s="142"/>
    </row>
    <row r="36" spans="1:11">
      <c r="A36" s="40" t="str">
        <f t="shared" ref="A36:A45" si="11">"DD"&amp;"-"&amp;C36</f>
        <v>DD-SE</v>
      </c>
      <c r="B36" s="193" t="s">
        <v>4</v>
      </c>
      <c r="C36" s="193" t="s">
        <v>81</v>
      </c>
      <c r="D36" s="193" t="s">
        <v>64</v>
      </c>
      <c r="E36" s="260">
        <v>15069.549609230779</v>
      </c>
      <c r="F36" s="238">
        <f t="shared" ref="F36:F45" si="12">VLOOKUP($D36,$D$69:$J$81,3,FALSE)*$E36</f>
        <v>15069.549609230779</v>
      </c>
      <c r="G36" s="238">
        <f t="shared" ref="G36:G45" si="13">VLOOKUP($D36,$D$69:$J$81,4,FALSE)*$E36</f>
        <v>0</v>
      </c>
      <c r="H36" s="238">
        <f t="shared" ref="H36:H45" si="14">VLOOKUP($D36,$D$69:$J$81,5,FALSE)*$E36</f>
        <v>0</v>
      </c>
      <c r="I36" s="238">
        <f t="shared" ref="I36:I45" si="15">VLOOKUP($D36,$D$69:$J$81,6,FALSE)*$E36</f>
        <v>0</v>
      </c>
      <c r="J36" s="238">
        <f t="shared" ref="J36:J45" si="16">VLOOKUP($D36,$D$69:$J$81,7,FALSE)*$E36</f>
        <v>0</v>
      </c>
    </row>
    <row r="37" spans="1:11">
      <c r="A37" s="40" t="str">
        <f t="shared" si="11"/>
        <v>DD-SG</v>
      </c>
      <c r="B37" s="193" t="s">
        <v>4</v>
      </c>
      <c r="C37" s="193" t="s">
        <v>83</v>
      </c>
      <c r="D37" s="193" t="s">
        <v>64</v>
      </c>
      <c r="E37" s="260">
        <v>40580.740273846102</v>
      </c>
      <c r="F37" s="238">
        <f t="shared" si="12"/>
        <v>40580.740273846102</v>
      </c>
      <c r="G37" s="238">
        <f t="shared" si="13"/>
        <v>0</v>
      </c>
      <c r="H37" s="238">
        <f t="shared" si="14"/>
        <v>0</v>
      </c>
      <c r="I37" s="238">
        <f t="shared" si="15"/>
        <v>0</v>
      </c>
      <c r="J37" s="238">
        <f t="shared" si="16"/>
        <v>0</v>
      </c>
    </row>
    <row r="38" spans="1:11">
      <c r="A38" s="40" t="str">
        <f t="shared" si="11"/>
        <v>DD-SG</v>
      </c>
      <c r="B38" s="193" t="s">
        <v>4</v>
      </c>
      <c r="C38" s="193" t="s">
        <v>83</v>
      </c>
      <c r="D38" s="193" t="s">
        <v>65</v>
      </c>
      <c r="E38" s="260">
        <v>15875.457119999919</v>
      </c>
      <c r="F38" s="238">
        <f t="shared" si="12"/>
        <v>0</v>
      </c>
      <c r="G38" s="238">
        <f t="shared" si="13"/>
        <v>15875.457119999919</v>
      </c>
      <c r="H38" s="238">
        <f t="shared" si="14"/>
        <v>0</v>
      </c>
      <c r="I38" s="238">
        <f t="shared" si="15"/>
        <v>0</v>
      </c>
      <c r="J38" s="238">
        <f t="shared" si="16"/>
        <v>0</v>
      </c>
    </row>
    <row r="39" spans="1:11">
      <c r="A39" s="40" t="str">
        <f t="shared" si="11"/>
        <v>DD-SO</v>
      </c>
      <c r="B39" s="193" t="s">
        <v>4</v>
      </c>
      <c r="C39" s="193" t="s">
        <v>85</v>
      </c>
      <c r="D39" s="193" t="s">
        <v>70</v>
      </c>
      <c r="E39" s="260">
        <v>129.37858076922601</v>
      </c>
      <c r="F39" s="238">
        <f t="shared" si="12"/>
        <v>0</v>
      </c>
      <c r="G39" s="238">
        <f t="shared" si="13"/>
        <v>0</v>
      </c>
      <c r="H39" s="238">
        <f t="shared" si="14"/>
        <v>0</v>
      </c>
      <c r="I39" s="238">
        <f t="shared" si="15"/>
        <v>0</v>
      </c>
      <c r="J39" s="238">
        <f t="shared" si="16"/>
        <v>129.37858076922601</v>
      </c>
    </row>
    <row r="40" spans="1:11">
      <c r="A40" s="40" t="str">
        <f t="shared" si="11"/>
        <v>DD-OTHER</v>
      </c>
      <c r="B40" s="193" t="s">
        <v>4</v>
      </c>
      <c r="C40" s="193" t="s">
        <v>288</v>
      </c>
      <c r="D40" s="193" t="s">
        <v>70</v>
      </c>
      <c r="E40" s="260">
        <v>3413.1375999999887</v>
      </c>
      <c r="F40" s="238">
        <f t="shared" si="12"/>
        <v>0</v>
      </c>
      <c r="G40" s="238">
        <f t="shared" si="13"/>
        <v>0</v>
      </c>
      <c r="H40" s="238">
        <f t="shared" si="14"/>
        <v>0</v>
      </c>
      <c r="I40" s="238">
        <f t="shared" si="15"/>
        <v>0</v>
      </c>
      <c r="J40" s="238">
        <f t="shared" si="16"/>
        <v>3413.1375999999887</v>
      </c>
    </row>
    <row r="41" spans="1:11">
      <c r="A41" s="40" t="str">
        <f t="shared" si="11"/>
        <v>DD-OTHER</v>
      </c>
      <c r="B41" s="193" t="s">
        <v>4</v>
      </c>
      <c r="C41" s="193" t="s">
        <v>288</v>
      </c>
      <c r="D41" s="193" t="s">
        <v>64</v>
      </c>
      <c r="E41" s="260">
        <v>53.577846153846103</v>
      </c>
      <c r="F41" s="238">
        <f t="shared" si="12"/>
        <v>53.577846153846103</v>
      </c>
      <c r="G41" s="238">
        <f t="shared" si="13"/>
        <v>0</v>
      </c>
      <c r="H41" s="238">
        <f t="shared" si="14"/>
        <v>0</v>
      </c>
      <c r="I41" s="238">
        <f t="shared" si="15"/>
        <v>0</v>
      </c>
      <c r="J41" s="238">
        <f t="shared" si="16"/>
        <v>0</v>
      </c>
    </row>
    <row r="42" spans="1:11">
      <c r="A42" s="40" t="str">
        <f t="shared" si="11"/>
        <v>DD-OTHER</v>
      </c>
      <c r="B42" s="193" t="s">
        <v>4</v>
      </c>
      <c r="C42" s="193" t="s">
        <v>288</v>
      </c>
      <c r="D42" s="193" t="s">
        <v>65</v>
      </c>
      <c r="E42" s="260">
        <v>8042.137943076913</v>
      </c>
      <c r="F42" s="238">
        <f t="shared" si="12"/>
        <v>0</v>
      </c>
      <c r="G42" s="238">
        <f t="shared" si="13"/>
        <v>8042.137943076913</v>
      </c>
      <c r="H42" s="238">
        <f t="shared" si="14"/>
        <v>0</v>
      </c>
      <c r="I42" s="238">
        <f t="shared" si="15"/>
        <v>0</v>
      </c>
      <c r="J42" s="238">
        <f t="shared" si="16"/>
        <v>0</v>
      </c>
    </row>
    <row r="43" spans="1:11">
      <c r="A43" s="40" t="str">
        <f t="shared" si="11"/>
        <v>DD-OTHER</v>
      </c>
      <c r="B43" s="193" t="s">
        <v>4</v>
      </c>
      <c r="C43" s="193" t="s">
        <v>288</v>
      </c>
      <c r="D43" s="193" t="s">
        <v>98</v>
      </c>
      <c r="E43" s="260">
        <v>5934.8003846153797</v>
      </c>
      <c r="F43" s="238">
        <f t="shared" si="12"/>
        <v>2613.5527939179474</v>
      </c>
      <c r="G43" s="238">
        <f t="shared" si="13"/>
        <v>435.60733537959379</v>
      </c>
      <c r="H43" s="238">
        <f t="shared" si="14"/>
        <v>2018.8753388526509</v>
      </c>
      <c r="I43" s="238">
        <f t="shared" si="15"/>
        <v>866.76491646518787</v>
      </c>
      <c r="J43" s="238">
        <f t="shared" si="16"/>
        <v>0</v>
      </c>
    </row>
    <row r="44" spans="1:11">
      <c r="A44" s="40" t="str">
        <f t="shared" si="11"/>
        <v>DD-SITUS</v>
      </c>
      <c r="B44" s="193" t="s">
        <v>4</v>
      </c>
      <c r="C44" s="193" t="s">
        <v>12</v>
      </c>
      <c r="D44" s="193" t="s">
        <v>65</v>
      </c>
      <c r="E44" s="260">
        <v>0</v>
      </c>
      <c r="F44" s="238">
        <f t="shared" si="12"/>
        <v>0</v>
      </c>
      <c r="G44" s="238">
        <f t="shared" si="13"/>
        <v>0</v>
      </c>
      <c r="H44" s="238">
        <f t="shared" si="14"/>
        <v>0</v>
      </c>
      <c r="I44" s="238">
        <f t="shared" si="15"/>
        <v>0</v>
      </c>
      <c r="J44" s="238">
        <f t="shared" si="16"/>
        <v>0</v>
      </c>
    </row>
    <row r="45" spans="1:11">
      <c r="A45" s="40" t="str">
        <f t="shared" si="11"/>
        <v>DD-SITUS</v>
      </c>
      <c r="B45" s="193" t="s">
        <v>4</v>
      </c>
      <c r="C45" s="193" t="s">
        <v>12</v>
      </c>
      <c r="D45" s="193" t="s">
        <v>98</v>
      </c>
      <c r="E45" s="260">
        <v>0</v>
      </c>
      <c r="F45" s="238">
        <f t="shared" si="12"/>
        <v>0</v>
      </c>
      <c r="G45" s="238">
        <f t="shared" si="13"/>
        <v>0</v>
      </c>
      <c r="H45" s="238">
        <f t="shared" si="14"/>
        <v>0</v>
      </c>
      <c r="I45" s="238">
        <f t="shared" si="15"/>
        <v>0</v>
      </c>
      <c r="J45" s="238">
        <f t="shared" si="16"/>
        <v>0</v>
      </c>
    </row>
    <row r="46" spans="1:11">
      <c r="B46" s="136" t="s">
        <v>264</v>
      </c>
      <c r="E46" s="238">
        <f t="shared" ref="E46:J46" si="17">SUMIF($A:$A,"DD-SITUS",E:E)</f>
        <v>0</v>
      </c>
      <c r="F46" s="238">
        <f t="shared" si="17"/>
        <v>0</v>
      </c>
      <c r="G46" s="238">
        <f t="shared" si="17"/>
        <v>0</v>
      </c>
      <c r="H46" s="238">
        <f t="shared" si="17"/>
        <v>0</v>
      </c>
      <c r="I46" s="238">
        <f t="shared" si="17"/>
        <v>0</v>
      </c>
      <c r="J46" s="238">
        <f t="shared" si="17"/>
        <v>0</v>
      </c>
    </row>
    <row r="47" spans="1:11">
      <c r="B47" s="136" t="s">
        <v>265</v>
      </c>
      <c r="C47" s="198"/>
      <c r="D47" s="198"/>
      <c r="E47" s="238">
        <f t="shared" ref="E47:J47" si="18">SUMIF($A:$A,"DD-SG",E:E)</f>
        <v>56456.197393846021</v>
      </c>
      <c r="F47" s="238">
        <f t="shared" si="18"/>
        <v>40580.740273846102</v>
      </c>
      <c r="G47" s="238">
        <f t="shared" si="18"/>
        <v>15875.457119999919</v>
      </c>
      <c r="H47" s="238">
        <f t="shared" si="18"/>
        <v>0</v>
      </c>
      <c r="I47" s="238">
        <f t="shared" si="18"/>
        <v>0</v>
      </c>
      <c r="J47" s="238">
        <f t="shared" si="18"/>
        <v>0</v>
      </c>
    </row>
    <row r="48" spans="1:11">
      <c r="B48" s="170" t="s">
        <v>251</v>
      </c>
      <c r="C48" s="200"/>
      <c r="D48" s="200"/>
      <c r="E48" s="263">
        <f t="shared" ref="E48:J48" si="19">SUMIF($A:$A,"DD-SO",E:E)</f>
        <v>129.37858076922601</v>
      </c>
      <c r="F48" s="263">
        <f t="shared" si="19"/>
        <v>0</v>
      </c>
      <c r="G48" s="263">
        <f t="shared" si="19"/>
        <v>0</v>
      </c>
      <c r="H48" s="263">
        <f t="shared" si="19"/>
        <v>0</v>
      </c>
      <c r="I48" s="263">
        <f t="shared" si="19"/>
        <v>0</v>
      </c>
      <c r="J48" s="263">
        <f t="shared" si="19"/>
        <v>129.37858076922601</v>
      </c>
    </row>
    <row r="49" spans="2:10">
      <c r="B49" s="135" t="s">
        <v>267</v>
      </c>
      <c r="E49" s="238">
        <f t="shared" ref="E49:J49" si="20">SUMIF($B:$B,"186M",E:E)</f>
        <v>89098.779357692154</v>
      </c>
      <c r="F49" s="238">
        <f t="shared" si="20"/>
        <v>58317.42052314867</v>
      </c>
      <c r="G49" s="238">
        <f t="shared" si="20"/>
        <v>24353.202398456426</v>
      </c>
      <c r="H49" s="238">
        <f t="shared" si="20"/>
        <v>2018.8753388526509</v>
      </c>
      <c r="I49" s="238">
        <f t="shared" si="20"/>
        <v>866.76491646518787</v>
      </c>
      <c r="J49" s="238">
        <f t="shared" si="20"/>
        <v>3542.5161807692148</v>
      </c>
    </row>
    <row r="50" spans="2:10">
      <c r="B50" s="140" t="s">
        <v>101</v>
      </c>
      <c r="C50" s="193"/>
      <c r="D50" s="193"/>
      <c r="E50" s="141">
        <f>SUM(F50:J50)</f>
        <v>0</v>
      </c>
      <c r="F50" s="142">
        <f>IFERROR(F46/$E46,0)</f>
        <v>0</v>
      </c>
      <c r="G50" s="142">
        <f t="shared" ref="G50:J50" si="21">IFERROR(G46/$E46,0)</f>
        <v>0</v>
      </c>
      <c r="H50" s="142">
        <f t="shared" si="21"/>
        <v>0</v>
      </c>
      <c r="I50" s="142">
        <f t="shared" si="21"/>
        <v>0</v>
      </c>
      <c r="J50" s="142">
        <f t="shared" si="21"/>
        <v>0</v>
      </c>
    </row>
    <row r="51" spans="2:10">
      <c r="B51" s="140" t="s">
        <v>102</v>
      </c>
      <c r="C51" s="193"/>
      <c r="D51" s="193"/>
      <c r="E51" s="141">
        <f>SUM(F51:J51)</f>
        <v>1</v>
      </c>
      <c r="F51" s="142">
        <f t="shared" ref="F51:J51" si="22">F47/$E47</f>
        <v>0.71880045322127173</v>
      </c>
      <c r="G51" s="142">
        <f t="shared" si="22"/>
        <v>0.28119954677872822</v>
      </c>
      <c r="H51" s="142">
        <f t="shared" si="22"/>
        <v>0</v>
      </c>
      <c r="I51" s="142">
        <f t="shared" si="22"/>
        <v>0</v>
      </c>
      <c r="J51" s="142">
        <f t="shared" si="22"/>
        <v>0</v>
      </c>
    </row>
    <row r="52" spans="2:10">
      <c r="B52" s="140" t="s">
        <v>286</v>
      </c>
      <c r="C52" s="198"/>
      <c r="D52" s="193"/>
      <c r="E52" s="141">
        <f>SUM(F52:J52)</f>
        <v>1</v>
      </c>
      <c r="F52" s="142">
        <f>IFERROR(F48/$E48,0)</f>
        <v>0</v>
      </c>
      <c r="G52" s="142">
        <f t="shared" ref="G52:J52" si="23">IFERROR(G48/$E48,0)</f>
        <v>0</v>
      </c>
      <c r="H52" s="142">
        <f t="shared" si="23"/>
        <v>0</v>
      </c>
      <c r="I52" s="142">
        <f t="shared" si="23"/>
        <v>0</v>
      </c>
      <c r="J52" s="142">
        <f t="shared" si="23"/>
        <v>1</v>
      </c>
    </row>
    <row r="53" spans="2:10">
      <c r="B53" s="140"/>
      <c r="C53" s="193"/>
      <c r="D53" s="193"/>
      <c r="E53" s="141"/>
      <c r="F53" s="142"/>
      <c r="G53" s="142"/>
      <c r="H53" s="142"/>
      <c r="I53" s="142"/>
      <c r="J53" s="142"/>
    </row>
    <row r="54" spans="2:10">
      <c r="B54" s="198" t="s">
        <v>46</v>
      </c>
      <c r="C54" s="198"/>
      <c r="D54" s="198"/>
      <c r="E54" s="240"/>
      <c r="F54" s="240"/>
      <c r="G54" s="240"/>
      <c r="H54" s="240"/>
      <c r="I54" s="240"/>
      <c r="J54" s="240"/>
    </row>
    <row r="55" spans="2:10">
      <c r="B55" s="198" t="s">
        <v>47</v>
      </c>
      <c r="C55" s="198"/>
      <c r="D55" s="198" t="s">
        <v>98</v>
      </c>
      <c r="E55" s="240">
        <v>0</v>
      </c>
      <c r="F55" s="238">
        <f>VLOOKUP($D55,$D$69:$J$81,3,FALSE)*$E55</f>
        <v>0</v>
      </c>
      <c r="G55" s="238">
        <f>VLOOKUP($D55,$D$69:$J$81,4,FALSE)*$E55</f>
        <v>0</v>
      </c>
      <c r="H55" s="238">
        <f>VLOOKUP($D55,$D$69:$J$81,5,FALSE)*$E55</f>
        <v>0</v>
      </c>
      <c r="I55" s="238">
        <f>VLOOKUP($D55,$D$69:$J$81,6,FALSE)*$E55</f>
        <v>0</v>
      </c>
      <c r="J55" s="238">
        <f>VLOOKUP($D55,$D$69:$J$81,7,FALSE)*$E55</f>
        <v>0</v>
      </c>
    </row>
    <row r="56" spans="2:10">
      <c r="B56" s="198" t="s">
        <v>48</v>
      </c>
      <c r="C56" s="198"/>
      <c r="D56" s="198" t="s">
        <v>98</v>
      </c>
      <c r="E56" s="240">
        <v>0</v>
      </c>
      <c r="F56" s="238">
        <f>VLOOKUP($D56,$D$69:$J$81,3,FALSE)*$E56</f>
        <v>0</v>
      </c>
      <c r="G56" s="238">
        <f>VLOOKUP($D56,$D$69:$J$81,4,FALSE)*$E56</f>
        <v>0</v>
      </c>
      <c r="H56" s="238">
        <f>VLOOKUP($D56,$D$69:$J$81,5,FALSE)*$E56</f>
        <v>0</v>
      </c>
      <c r="I56" s="238">
        <f>VLOOKUP($D56,$D$69:$J$81,6,FALSE)*$E56</f>
        <v>0</v>
      </c>
      <c r="J56" s="238">
        <f>VLOOKUP($D56,$D$69:$J$81,7,FALSE)*$E56</f>
        <v>0</v>
      </c>
    </row>
    <row r="57" spans="2:10">
      <c r="B57" s="198" t="s">
        <v>49</v>
      </c>
      <c r="C57" s="198"/>
      <c r="D57" s="198" t="s">
        <v>88</v>
      </c>
      <c r="E57" s="240">
        <v>0</v>
      </c>
      <c r="F57" s="238">
        <f>VLOOKUP($D57,$D$69:$J$81,3,FALSE)*$E57</f>
        <v>0</v>
      </c>
      <c r="G57" s="238">
        <f>VLOOKUP($D57,$D$69:$J$81,4,FALSE)*$E57</f>
        <v>0</v>
      </c>
      <c r="H57" s="238">
        <f>VLOOKUP($D57,$D$69:$J$81,5,FALSE)*$E57</f>
        <v>0</v>
      </c>
      <c r="I57" s="238">
        <f>VLOOKUP($D57,$D$69:$J$81,6,FALSE)*$E57</f>
        <v>0</v>
      </c>
      <c r="J57" s="238">
        <f>VLOOKUP($D57,$D$69:$J$81,7,FALSE)*$E57</f>
        <v>0</v>
      </c>
    </row>
    <row r="58" spans="2:10">
      <c r="B58" s="198" t="s">
        <v>50</v>
      </c>
      <c r="C58" s="198"/>
      <c r="D58" s="198" t="s">
        <v>96</v>
      </c>
      <c r="E58" s="240">
        <v>0</v>
      </c>
      <c r="F58" s="238">
        <f>VLOOKUP($D58,$D$69:$J$81,3,FALSE)*$E58</f>
        <v>0</v>
      </c>
      <c r="G58" s="238">
        <f>VLOOKUP($D58,$D$69:$J$81,4,FALSE)*$E58</f>
        <v>0</v>
      </c>
      <c r="H58" s="238">
        <f>VLOOKUP($D58,$D$69:$J$81,5,FALSE)*$E58</f>
        <v>0</v>
      </c>
      <c r="I58" s="238">
        <f>VLOOKUP($D58,$D$69:$J$81,6,FALSE)*$E58</f>
        <v>0</v>
      </c>
      <c r="J58" s="238">
        <f>VLOOKUP($D58,$D$69:$J$81,7,FALSE)*$E58</f>
        <v>0</v>
      </c>
    </row>
    <row r="59" spans="2:10">
      <c r="B59" s="198" t="s">
        <v>51</v>
      </c>
      <c r="C59" s="198"/>
      <c r="D59" s="198" t="s">
        <v>88</v>
      </c>
      <c r="E59" s="262">
        <v>0</v>
      </c>
      <c r="F59" s="238">
        <f>VLOOKUP($D59,$D$69:$J$81,3,FALSE)*$E59</f>
        <v>0</v>
      </c>
      <c r="G59" s="238">
        <f>VLOOKUP($D59,$D$69:$J$81,4,FALSE)*$E59</f>
        <v>0</v>
      </c>
      <c r="H59" s="238">
        <f>VLOOKUP($D59,$D$69:$J$81,5,FALSE)*$E59</f>
        <v>0</v>
      </c>
      <c r="I59" s="238">
        <f>VLOOKUP($D59,$D$69:$J$81,6,FALSE)*$E59</f>
        <v>0</v>
      </c>
      <c r="J59" s="238">
        <f>VLOOKUP($D59,$D$69:$J$81,7,FALSE)*$E59</f>
        <v>0</v>
      </c>
    </row>
    <row r="60" spans="2:10">
      <c r="B60" s="198" t="s">
        <v>52</v>
      </c>
      <c r="C60" s="198"/>
      <c r="D60" s="198"/>
      <c r="E60" s="240">
        <f t="shared" ref="E60:J60" si="24">SUM(E55:E59)</f>
        <v>0</v>
      </c>
      <c r="F60" s="240">
        <f t="shared" si="24"/>
        <v>0</v>
      </c>
      <c r="G60" s="240">
        <f t="shared" si="24"/>
        <v>0</v>
      </c>
      <c r="H60" s="240">
        <f t="shared" si="24"/>
        <v>0</v>
      </c>
      <c r="I60" s="240">
        <f t="shared" si="24"/>
        <v>0</v>
      </c>
      <c r="J60" s="240">
        <f t="shared" si="24"/>
        <v>0</v>
      </c>
    </row>
    <row r="61" spans="2:10">
      <c r="B61" s="198"/>
      <c r="C61" s="198"/>
      <c r="D61" s="198"/>
      <c r="E61" s="240"/>
      <c r="F61" s="240"/>
      <c r="G61" s="240"/>
      <c r="H61" s="240"/>
      <c r="I61" s="240"/>
      <c r="J61" s="240"/>
    </row>
    <row r="62" spans="2:10">
      <c r="B62" s="198" t="s">
        <v>53</v>
      </c>
      <c r="C62" s="198"/>
      <c r="D62" s="198"/>
      <c r="E62" s="240">
        <f t="shared" ref="E62:J62" si="25">+E48+E60</f>
        <v>129.37858076922601</v>
      </c>
      <c r="F62" s="240">
        <f t="shared" si="25"/>
        <v>0</v>
      </c>
      <c r="G62" s="240">
        <f t="shared" si="25"/>
        <v>0</v>
      </c>
      <c r="H62" s="240">
        <f t="shared" si="25"/>
        <v>0</v>
      </c>
      <c r="I62" s="240">
        <f t="shared" si="25"/>
        <v>0</v>
      </c>
      <c r="J62" s="240">
        <f t="shared" si="25"/>
        <v>129.37858076922601</v>
      </c>
    </row>
    <row r="63" spans="2:10">
      <c r="B63" s="198"/>
      <c r="C63" s="198"/>
      <c r="D63" s="198"/>
      <c r="E63" s="240"/>
      <c r="F63" s="240"/>
      <c r="G63" s="240"/>
      <c r="H63" s="240"/>
      <c r="I63" s="240"/>
      <c r="J63" s="240"/>
    </row>
    <row r="64" spans="2:10">
      <c r="B64" s="136" t="s">
        <v>266</v>
      </c>
      <c r="E64" s="238">
        <f>SUM(E49,E32)</f>
        <v>300084.68114153907</v>
      </c>
      <c r="F64" s="238">
        <f>SUM(F32,F49)</f>
        <v>250624.10277514596</v>
      </c>
      <c r="G64" s="238">
        <f>SUM(G32,G49)</f>
        <v>25656.568620094113</v>
      </c>
      <c r="H64" s="238">
        <f>SUM(H32,H49)</f>
        <v>8081.2448075444936</v>
      </c>
      <c r="I64" s="238">
        <f>SUM(I32,I49)</f>
        <v>-2913.4137558608463</v>
      </c>
      <c r="J64" s="238">
        <f>SUM(J32,J49)</f>
        <v>18636.178694615359</v>
      </c>
    </row>
    <row r="65" spans="2:10">
      <c r="B65" s="198"/>
      <c r="C65" s="198"/>
      <c r="D65" s="198"/>
      <c r="E65" s="269"/>
      <c r="F65" s="198"/>
      <c r="G65" s="198"/>
      <c r="H65" s="198"/>
      <c r="I65" s="198"/>
      <c r="J65" s="198"/>
    </row>
    <row r="66" spans="2:10">
      <c r="B66" s="198"/>
      <c r="C66" s="198"/>
      <c r="D66" s="198"/>
      <c r="E66" s="270"/>
      <c r="F66" s="198"/>
      <c r="G66" s="198"/>
      <c r="H66" s="198"/>
      <c r="I66" s="198"/>
      <c r="J66" s="198"/>
    </row>
    <row r="67" spans="2:10">
      <c r="E67" s="271"/>
    </row>
    <row r="68" spans="2:10">
      <c r="E68" s="40" t="s">
        <v>68</v>
      </c>
      <c r="F68" s="97" t="s">
        <v>60</v>
      </c>
      <c r="G68" s="97" t="s">
        <v>61</v>
      </c>
      <c r="H68" s="97" t="s">
        <v>103</v>
      </c>
      <c r="I68" s="97" t="s">
        <v>104</v>
      </c>
      <c r="J68" s="97" t="s">
        <v>105</v>
      </c>
    </row>
    <row r="69" spans="2:10">
      <c r="D69" s="40" t="s">
        <v>70</v>
      </c>
      <c r="E69" s="268">
        <f>SUM(F69:J69)</f>
        <v>1</v>
      </c>
      <c r="F69" s="259">
        <v>0</v>
      </c>
      <c r="G69" s="259">
        <v>0</v>
      </c>
      <c r="H69" s="259">
        <v>0</v>
      </c>
      <c r="I69" s="259">
        <v>0</v>
      </c>
      <c r="J69" s="259">
        <v>1</v>
      </c>
    </row>
    <row r="70" spans="2:10">
      <c r="D70" s="40" t="s">
        <v>66</v>
      </c>
      <c r="E70" s="268">
        <f t="shared" ref="E70:E81" si="26">SUM(F70:J70)</f>
        <v>1</v>
      </c>
      <c r="F70" s="229">
        <v>0</v>
      </c>
      <c r="G70" s="229">
        <v>0</v>
      </c>
      <c r="H70" s="229">
        <v>1</v>
      </c>
      <c r="I70" s="229">
        <v>0</v>
      </c>
      <c r="J70" s="229">
        <v>0</v>
      </c>
    </row>
    <row r="71" spans="2:10">
      <c r="D71" s="40" t="s">
        <v>69</v>
      </c>
      <c r="E71" s="268">
        <f t="shared" si="26"/>
        <v>1</v>
      </c>
      <c r="F71" s="229">
        <v>0</v>
      </c>
      <c r="G71" s="229">
        <v>0</v>
      </c>
      <c r="H71" s="229">
        <v>0</v>
      </c>
      <c r="I71" s="229">
        <v>1</v>
      </c>
      <c r="J71" s="229">
        <v>0</v>
      </c>
    </row>
    <row r="72" spans="2:10">
      <c r="D72" s="40" t="s">
        <v>96</v>
      </c>
      <c r="E72" s="268">
        <f t="shared" si="26"/>
        <v>1</v>
      </c>
      <c r="F72" s="229">
        <v>0.3</v>
      </c>
      <c r="G72" s="229">
        <v>0.1</v>
      </c>
      <c r="H72" s="229">
        <v>0.6</v>
      </c>
      <c r="I72" s="229">
        <v>0</v>
      </c>
      <c r="J72" s="229">
        <v>0</v>
      </c>
    </row>
    <row r="73" spans="2:10">
      <c r="D73" s="40" t="s">
        <v>106</v>
      </c>
      <c r="E73" s="268">
        <f t="shared" si="26"/>
        <v>1</v>
      </c>
      <c r="F73" s="229">
        <f>'GROSS PLANT'!$E$43</f>
        <v>0.50485130726490091</v>
      </c>
      <c r="G73" s="229">
        <f>'GROSS PLANT'!$F$43</f>
        <v>0.2291041445041237</v>
      </c>
      <c r="H73" s="229">
        <f>'GROSS PLANT'!$G$43</f>
        <v>0.2602402184286699</v>
      </c>
      <c r="I73" s="229">
        <f>'GROSS PLANT'!$H$43</f>
        <v>5.8043298023055887E-3</v>
      </c>
      <c r="J73" s="229">
        <f>'GROSS PLANT'!$I$43</f>
        <v>0</v>
      </c>
    </row>
    <row r="74" spans="2:10">
      <c r="D74" s="40" t="s">
        <v>250</v>
      </c>
      <c r="E74" s="268">
        <f t="shared" si="26"/>
        <v>1</v>
      </c>
      <c r="F74" s="229">
        <v>0</v>
      </c>
      <c r="G74" s="229">
        <v>0</v>
      </c>
      <c r="H74" s="229">
        <v>0</v>
      </c>
      <c r="I74" s="229">
        <v>1</v>
      </c>
      <c r="J74" s="229">
        <v>0</v>
      </c>
    </row>
    <row r="75" spans="2:10">
      <c r="D75" s="40" t="s">
        <v>98</v>
      </c>
      <c r="E75" s="268">
        <f t="shared" si="26"/>
        <v>1</v>
      </c>
      <c r="F75" s="229">
        <f>'FORM 1'!$C$25</f>
        <v>0.44037754002527002</v>
      </c>
      <c r="G75" s="229">
        <f>'FORM 1'!$D$25</f>
        <v>7.3398818350960335E-2</v>
      </c>
      <c r="H75" s="229">
        <f>'FORM 1'!$E$25</f>
        <v>0.34017577812492666</v>
      </c>
      <c r="I75" s="229">
        <f>'FORM 1'!$F$25</f>
        <v>0.14604786349884299</v>
      </c>
      <c r="J75" s="229">
        <f>'FORM 1'!$G$25</f>
        <v>0</v>
      </c>
    </row>
    <row r="76" spans="2:10">
      <c r="D76" s="40" t="s">
        <v>64</v>
      </c>
      <c r="E76" s="268">
        <f t="shared" si="26"/>
        <v>1</v>
      </c>
      <c r="F76" s="268">
        <f>'FORM 1'!$C$13</f>
        <v>1</v>
      </c>
      <c r="G76" s="268">
        <f>'FORM 1'!$D$13</f>
        <v>0</v>
      </c>
      <c r="H76" s="268">
        <f>'FORM 1'!$E$13</f>
        <v>0</v>
      </c>
      <c r="I76" s="268">
        <f>'FORM 1'!$F$13</f>
        <v>0</v>
      </c>
      <c r="J76" s="268">
        <f>'FORM 1'!$G$13</f>
        <v>0</v>
      </c>
    </row>
    <row r="77" spans="2:10">
      <c r="D77" s="40" t="s">
        <v>167</v>
      </c>
      <c r="E77" s="268">
        <f t="shared" ref="E77" si="27">SUM(F77:J77)</f>
        <v>1</v>
      </c>
      <c r="F77" s="268">
        <f>'FORM 1'!$C$17</f>
        <v>0.6846574279631007</v>
      </c>
      <c r="G77" s="268">
        <f>'FORM 1'!$D$17</f>
        <v>0.31534257203689942</v>
      </c>
      <c r="H77" s="268">
        <f>'FORM 1'!$E$17</f>
        <v>0</v>
      </c>
      <c r="I77" s="268">
        <f>'FORM 1'!$F$17</f>
        <v>0</v>
      </c>
      <c r="J77" s="268">
        <f>'FORM 1'!$G$17</f>
        <v>0</v>
      </c>
    </row>
    <row r="78" spans="2:10">
      <c r="D78" s="40" t="s">
        <v>88</v>
      </c>
      <c r="E78" s="268">
        <f t="shared" si="26"/>
        <v>1</v>
      </c>
      <c r="F78" s="268">
        <f>'FORM 1'!$C$16</f>
        <v>0.50462876088753772</v>
      </c>
      <c r="G78" s="268">
        <f>'FORM 1'!$D$16</f>
        <v>0.23242416555019971</v>
      </c>
      <c r="H78" s="268">
        <f>'FORM 1'!$E$16</f>
        <v>0.26294707356226266</v>
      </c>
      <c r="I78" s="268">
        <f>'FORM 1'!$F$16</f>
        <v>0</v>
      </c>
      <c r="J78" s="268">
        <f>'FORM 1'!$G$16</f>
        <v>0</v>
      </c>
    </row>
    <row r="79" spans="2:10">
      <c r="D79" s="40" t="s">
        <v>65</v>
      </c>
      <c r="E79" s="268">
        <f t="shared" si="26"/>
        <v>1</v>
      </c>
      <c r="F79" s="268">
        <f>'FORM 1'!$C$14</f>
        <v>0</v>
      </c>
      <c r="G79" s="268">
        <f>'FORM 1'!$D$14</f>
        <v>1</v>
      </c>
      <c r="H79" s="268">
        <f>'FORM 1'!$E$14</f>
        <v>0</v>
      </c>
      <c r="I79" s="268">
        <f>'FORM 1'!$F$14</f>
        <v>0</v>
      </c>
      <c r="J79" s="268">
        <f>'FORM 1'!$G$14</f>
        <v>0</v>
      </c>
    </row>
    <row r="80" spans="2:10">
      <c r="D80" s="40" t="s">
        <v>107</v>
      </c>
      <c r="E80" s="268">
        <f t="shared" si="26"/>
        <v>0.99999999999999989</v>
      </c>
      <c r="F80" s="229">
        <f>'TAX DEPR'!C24</f>
        <v>0.59356537084907768</v>
      </c>
      <c r="G80" s="229">
        <f>'TAX DEPR'!D24</f>
        <v>0.19147339699453164</v>
      </c>
      <c r="H80" s="229">
        <f>'TAX DEPR'!E24</f>
        <v>0.21079358449280244</v>
      </c>
      <c r="I80" s="229">
        <f>'TAX DEPR'!F24</f>
        <v>4.1676476635882408E-3</v>
      </c>
      <c r="J80" s="229">
        <f>'TAX DEPR'!G24</f>
        <v>0</v>
      </c>
    </row>
    <row r="81" spans="4:10">
      <c r="D81" s="40" t="s">
        <v>92</v>
      </c>
      <c r="E81" s="268">
        <f t="shared" si="26"/>
        <v>1</v>
      </c>
      <c r="F81" s="268">
        <f>'FORM 1'!$C$18</f>
        <v>0</v>
      </c>
      <c r="G81" s="268">
        <f>'FORM 1'!$D$18</f>
        <v>0.46919188519427402</v>
      </c>
      <c r="H81" s="268">
        <f>'FORM 1'!$E$18</f>
        <v>0.53080811480572609</v>
      </c>
      <c r="I81" s="268">
        <f>'FORM 1'!$F$18</f>
        <v>0</v>
      </c>
      <c r="J81" s="268">
        <f>'FORM 1'!$G$18</f>
        <v>0</v>
      </c>
    </row>
    <row r="82" spans="4:10">
      <c r="F82" s="268"/>
    </row>
    <row r="83" spans="4:10">
      <c r="E83" s="260"/>
      <c r="G83" s="271"/>
      <c r="H83" s="272"/>
      <c r="I83" s="272"/>
    </row>
    <row r="84" spans="4:10">
      <c r="E84" s="260"/>
      <c r="G84" s="271"/>
      <c r="I84" s="272"/>
    </row>
    <row r="85" spans="4:10">
      <c r="E85" s="260"/>
      <c r="G85" s="273"/>
      <c r="I85" s="272"/>
    </row>
    <row r="86" spans="4:10">
      <c r="E86" s="260"/>
      <c r="G86" s="273"/>
    </row>
    <row r="87" spans="4:10">
      <c r="E87" s="260"/>
      <c r="G87" s="273"/>
    </row>
    <row r="88" spans="4:10">
      <c r="E88" s="260"/>
      <c r="G88" s="273"/>
    </row>
    <row r="89" spans="4:10">
      <c r="E89" s="260"/>
      <c r="F89" s="271"/>
      <c r="H89" s="272"/>
    </row>
    <row r="90" spans="4:10">
      <c r="E90" s="260"/>
      <c r="F90" s="271"/>
      <c r="H90" s="272"/>
    </row>
    <row r="91" spans="4:10">
      <c r="E91" s="260"/>
      <c r="F91" s="271"/>
      <c r="H91" s="272"/>
    </row>
    <row r="92" spans="4:10">
      <c r="E92" s="260"/>
      <c r="F92" s="271"/>
      <c r="H92" s="272"/>
    </row>
    <row r="93" spans="4:10">
      <c r="E93" s="260"/>
      <c r="F93" s="271"/>
      <c r="H93" s="272"/>
    </row>
    <row r="94" spans="4:10">
      <c r="E94" s="260"/>
      <c r="F94" s="271"/>
      <c r="H94" s="272"/>
    </row>
    <row r="95" spans="4:10">
      <c r="E95" s="260"/>
      <c r="F95" s="271"/>
      <c r="H95" s="272"/>
    </row>
    <row r="96" spans="4:10">
      <c r="E96" s="260"/>
      <c r="F96" s="271"/>
      <c r="H96" s="272"/>
    </row>
  </sheetData>
  <customSheetViews>
    <customSheetView guid="{20A63875-964B-11D5-AAED-0004762A99E9}" printArea="1" showRuler="0">
      <selection activeCell="D6" sqref="D6"/>
      <rowBreaks count="4" manualBreakCount="4">
        <brk id="71" max="8" man="1"/>
        <brk id="91" max="8" man="1"/>
        <brk id="151" max="8" man="1"/>
        <brk id="240" max="8" man="1"/>
      </rowBreaks>
      <pageMargins left="0.75" right="0.75" top="1" bottom="1" header="0.5" footer="0.5"/>
      <printOptions horizontalCentered="1"/>
      <pageSetup scale="90" fitToHeight="10" orientation="landscape" r:id="rId1"/>
      <headerFooter alignWithMargins="0">
        <oddFooter>&amp;L&amp;D&amp;C&amp;A Page &amp;P of &amp;N&amp;R&amp;F</oddFooter>
      </headerFooter>
    </customSheetView>
  </customSheetViews>
  <mergeCells count="3">
    <mergeCell ref="B1:J1"/>
    <mergeCell ref="B2:J2"/>
    <mergeCell ref="B3:J3"/>
  </mergeCells>
  <phoneticPr fontId="0" type="noConversion"/>
  <printOptions horizontalCentered="1"/>
  <pageMargins left="0.5" right="0.5" top="0.5" bottom="0.65" header="0.4" footer="0.2"/>
  <pageSetup scale="85" orientation="landscape" r:id="rId2"/>
  <headerFooter alignWithMargins="0">
    <oddFooter>&amp;LExhibit RMP_____(CCP-3)&amp;R&amp;F&amp;CTab 3 - Page 15 of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 enableFormatConditionsCalculation="0">
    <pageSetUpPr fitToPage="1"/>
  </sheetPr>
  <dimension ref="A1:H331"/>
  <sheetViews>
    <sheetView zoomScale="90" workbookViewId="0">
      <selection activeCell="A15" sqref="A15:A16"/>
    </sheetView>
  </sheetViews>
  <sheetFormatPr defaultRowHeight="12.75"/>
  <cols>
    <col min="1" max="1" width="34" bestFit="1" customWidth="1"/>
    <col min="2" max="2" width="15.5703125" bestFit="1" customWidth="1"/>
    <col min="3" max="7" width="15.7109375" customWidth="1"/>
    <col min="8" max="8" width="17.28515625" bestFit="1" customWidth="1"/>
    <col min="9" max="9" width="14.42578125" bestFit="1" customWidth="1"/>
    <col min="10" max="10" width="12.7109375" bestFit="1" customWidth="1"/>
  </cols>
  <sheetData>
    <row r="1" spans="1:8" ht="15.75">
      <c r="A1" s="278" t="str">
        <f>+'TOTAL FUNCFAC'!$A$1</f>
        <v>PacifiCorp</v>
      </c>
      <c r="B1" s="278"/>
      <c r="C1" s="278"/>
      <c r="D1" s="278"/>
      <c r="E1" s="278"/>
      <c r="F1" s="278"/>
      <c r="G1" s="278"/>
    </row>
    <row r="2" spans="1:8" ht="15.75">
      <c r="A2" s="279" t="str">
        <f>+'TOTAL FUNCFAC'!A2</f>
        <v>12 Months Ended June 2013</v>
      </c>
      <c r="B2" s="279"/>
      <c r="C2" s="279"/>
      <c r="D2" s="279"/>
      <c r="E2" s="279"/>
      <c r="F2" s="279"/>
      <c r="G2" s="279"/>
    </row>
    <row r="3" spans="1:8" ht="15.75">
      <c r="A3" s="5" t="s">
        <v>238</v>
      </c>
      <c r="B3" s="7"/>
      <c r="C3" s="7"/>
      <c r="D3" s="7"/>
      <c r="E3" s="7"/>
      <c r="F3" s="4"/>
      <c r="G3" s="4"/>
    </row>
    <row r="5" spans="1:8">
      <c r="A5" s="1"/>
      <c r="B5" s="2" t="s">
        <v>68</v>
      </c>
      <c r="C5" s="2" t="s">
        <v>60</v>
      </c>
      <c r="D5" s="2" t="s">
        <v>61</v>
      </c>
      <c r="E5" s="3" t="s">
        <v>62</v>
      </c>
      <c r="F5" s="3" t="s">
        <v>63</v>
      </c>
      <c r="G5" s="3" t="s">
        <v>131</v>
      </c>
    </row>
    <row r="6" spans="1:8">
      <c r="A6" s="114"/>
      <c r="B6" s="114"/>
      <c r="C6" s="115"/>
      <c r="D6" s="115"/>
      <c r="E6" s="115"/>
      <c r="F6" s="116"/>
      <c r="G6" s="116"/>
    </row>
    <row r="7" spans="1:8">
      <c r="B7" s="117"/>
      <c r="C7" s="117"/>
      <c r="D7" s="117"/>
      <c r="E7" s="117"/>
      <c r="F7" s="117"/>
      <c r="G7" s="117"/>
    </row>
    <row r="8" spans="1:8" ht="13.5" thickBot="1">
      <c r="A8" s="6" t="s">
        <v>68</v>
      </c>
      <c r="B8" s="201">
        <f>SUM(C8:G8)</f>
        <v>795131754</v>
      </c>
      <c r="C8" s="228">
        <f>445481697-G8</f>
        <v>439818808</v>
      </c>
      <c r="D8" s="228">
        <v>141363340</v>
      </c>
      <c r="E8" s="228">
        <v>154366090.5</v>
      </c>
      <c r="F8" s="228">
        <v>53920626.5</v>
      </c>
      <c r="G8" s="228">
        <v>5662889</v>
      </c>
      <c r="H8" s="225"/>
    </row>
    <row r="9" spans="1:8" ht="13.5" thickTop="1">
      <c r="C9" s="10"/>
      <c r="D9" s="10"/>
      <c r="E9" s="10"/>
      <c r="F9" s="10"/>
      <c r="G9" s="10"/>
      <c r="H9" s="10"/>
    </row>
    <row r="10" spans="1:8">
      <c r="C10" s="226"/>
      <c r="D10" s="227"/>
      <c r="E10" s="227"/>
      <c r="F10" s="227"/>
      <c r="G10" s="227"/>
      <c r="H10" s="10"/>
    </row>
    <row r="11" spans="1:8">
      <c r="A11" s="114"/>
      <c r="B11" s="114"/>
      <c r="C11" s="224"/>
      <c r="D11" s="224"/>
      <c r="E11" s="224"/>
      <c r="F11" s="160"/>
      <c r="G11" s="160"/>
      <c r="H11" s="10"/>
    </row>
    <row r="12" spans="1:8">
      <c r="A12" s="118" t="s">
        <v>242</v>
      </c>
      <c r="B12" s="118" t="s">
        <v>68</v>
      </c>
      <c r="C12" s="119" t="s">
        <v>239</v>
      </c>
      <c r="D12" s="119" t="s">
        <v>240</v>
      </c>
      <c r="E12" s="119" t="s">
        <v>241</v>
      </c>
      <c r="F12" s="119" t="s">
        <v>223</v>
      </c>
      <c r="G12" s="119" t="s">
        <v>224</v>
      </c>
      <c r="H12" s="10"/>
    </row>
    <row r="13" spans="1:8">
      <c r="A13" s="91"/>
      <c r="B13" s="118"/>
      <c r="C13" s="119"/>
      <c r="D13" s="119"/>
      <c r="E13" s="119"/>
      <c r="F13" s="119"/>
      <c r="G13" s="119"/>
      <c r="H13" s="10"/>
    </row>
    <row r="14" spans="1:8" s="10" customFormat="1">
      <c r="A14" s="91" t="s">
        <v>243</v>
      </c>
      <c r="B14" s="120">
        <f>SUM(C14:F14)</f>
        <v>1</v>
      </c>
      <c r="C14" s="229">
        <v>0.4911103441442321</v>
      </c>
      <c r="D14" s="229">
        <v>0.20183812212568172</v>
      </c>
      <c r="E14" s="229">
        <v>0.24559399490117584</v>
      </c>
      <c r="F14" s="229">
        <v>6.1457538828910308E-2</v>
      </c>
      <c r="G14" s="229">
        <v>0</v>
      </c>
      <c r="H14" s="225"/>
    </row>
    <row r="15" spans="1:8">
      <c r="A15" s="230" t="s">
        <v>301</v>
      </c>
      <c r="B15" s="91"/>
      <c r="C15" s="121"/>
      <c r="D15" s="121"/>
      <c r="E15" s="121"/>
      <c r="F15" s="121"/>
      <c r="G15" s="121"/>
    </row>
    <row r="16" spans="1:8">
      <c r="A16" s="230" t="s">
        <v>244</v>
      </c>
      <c r="B16" s="91"/>
      <c r="C16" s="121"/>
      <c r="D16" s="121"/>
      <c r="E16" s="121"/>
      <c r="F16" s="121"/>
      <c r="G16" s="121"/>
    </row>
    <row r="17" spans="1:7">
      <c r="A17" s="91"/>
      <c r="B17" s="91"/>
      <c r="C17" s="121"/>
      <c r="D17" s="121"/>
      <c r="E17" s="121"/>
      <c r="F17" s="121"/>
      <c r="G17" s="121"/>
    </row>
    <row r="18" spans="1:7">
      <c r="A18" s="91" t="s">
        <v>245</v>
      </c>
      <c r="B18" s="123">
        <f>SUM(C18:F18)</f>
        <v>53920626.499999993</v>
      </c>
      <c r="C18" s="100">
        <f>+$F$8*C14</f>
        <v>26480977.4368876</v>
      </c>
      <c r="D18" s="100">
        <f>+$F$8*D14</f>
        <v>10883237.99660027</v>
      </c>
      <c r="E18" s="100">
        <f>+$F$8*E14</f>
        <v>13242582.069709206</v>
      </c>
      <c r="F18" s="100">
        <f>+$F$8*F14</f>
        <v>3313828.99680292</v>
      </c>
      <c r="G18" s="100">
        <f>+$F$8*G14</f>
        <v>0</v>
      </c>
    </row>
    <row r="19" spans="1:7">
      <c r="A19" s="91" t="s">
        <v>246</v>
      </c>
      <c r="B19" s="124">
        <f>SUM(C19:F19)</f>
        <v>5662889</v>
      </c>
      <c r="C19" s="125">
        <f>G8</f>
        <v>5662889</v>
      </c>
      <c r="D19" s="126"/>
      <c r="E19" s="126"/>
      <c r="F19" s="126"/>
      <c r="G19" s="126"/>
    </row>
    <row r="20" spans="1:7">
      <c r="A20" s="91"/>
      <c r="B20" s="127"/>
      <c r="C20" s="128"/>
      <c r="D20" s="129"/>
      <c r="E20" s="129"/>
      <c r="F20" s="129"/>
      <c r="G20" s="129"/>
    </row>
    <row r="21" spans="1:7">
      <c r="A21" s="130" t="s">
        <v>247</v>
      </c>
      <c r="B21" s="123">
        <f>SUM(C21:F21)</f>
        <v>795131754</v>
      </c>
      <c r="C21" s="100">
        <f>+C8+C18+C19</f>
        <v>471962674.43688762</v>
      </c>
      <c r="D21" s="100">
        <f>+D8+D18+D19</f>
        <v>152246577.99660027</v>
      </c>
      <c r="E21" s="100">
        <f>+E8+E18+E19</f>
        <v>167608672.56970921</v>
      </c>
      <c r="F21" s="100">
        <f>+F18+F19</f>
        <v>3313828.99680292</v>
      </c>
      <c r="G21" s="100">
        <f>+G18+G19</f>
        <v>0</v>
      </c>
    </row>
    <row r="22" spans="1:7">
      <c r="A22" s="91"/>
      <c r="B22" s="91"/>
      <c r="C22" s="121"/>
      <c r="D22" s="121"/>
      <c r="E22" s="121"/>
      <c r="F22" s="121"/>
      <c r="G22" s="121"/>
    </row>
    <row r="23" spans="1:7">
      <c r="A23" s="91"/>
      <c r="B23" s="91"/>
      <c r="C23" s="131"/>
      <c r="D23" s="131"/>
      <c r="E23" s="131"/>
      <c r="F23" s="131"/>
      <c r="G23" s="131"/>
    </row>
    <row r="24" spans="1:7" ht="13.5" thickBot="1">
      <c r="A24" s="131" t="s">
        <v>248</v>
      </c>
      <c r="B24" s="132">
        <f>SUM(C24:F24)</f>
        <v>0.99999999999999989</v>
      </c>
      <c r="C24" s="132">
        <f>+C21/$B$21</f>
        <v>0.59356537084907768</v>
      </c>
      <c r="D24" s="132">
        <f>+D21/$B$21</f>
        <v>0.19147339699453164</v>
      </c>
      <c r="E24" s="132">
        <f>+E21/$B$21</f>
        <v>0.21079358449280244</v>
      </c>
      <c r="F24" s="132">
        <f>+F21/$B$21</f>
        <v>4.1676476635882408E-3</v>
      </c>
      <c r="G24" s="132">
        <f>+G21/$B$21</f>
        <v>0</v>
      </c>
    </row>
    <row r="25" spans="1:7" ht="13.5" thickTop="1">
      <c r="A25" s="114"/>
      <c r="B25" s="114"/>
      <c r="C25" s="115"/>
      <c r="D25" s="115"/>
      <c r="E25" s="115"/>
      <c r="F25" s="116"/>
      <c r="G25" s="116"/>
    </row>
    <row r="26" spans="1:7">
      <c r="A26" s="114"/>
      <c r="B26" s="114"/>
      <c r="C26" s="115"/>
      <c r="D26" s="115"/>
      <c r="E26" s="115"/>
      <c r="F26" s="116"/>
      <c r="G26" s="116"/>
    </row>
    <row r="27" spans="1:7">
      <c r="A27" s="114"/>
      <c r="B27" s="114"/>
      <c r="C27" s="115"/>
      <c r="D27" s="115"/>
      <c r="E27" s="115"/>
      <c r="F27" s="116"/>
      <c r="G27" s="116"/>
    </row>
    <row r="28" spans="1:7">
      <c r="A28" s="114"/>
      <c r="B28" s="114"/>
      <c r="C28" s="114"/>
      <c r="D28" s="114"/>
      <c r="E28" s="114"/>
      <c r="F28" s="114"/>
      <c r="G28" s="114"/>
    </row>
    <row r="29" spans="1:7">
      <c r="A29" s="114"/>
      <c r="B29" s="114"/>
      <c r="C29" s="115"/>
      <c r="D29" s="115"/>
      <c r="E29" s="115"/>
      <c r="F29" s="116"/>
      <c r="G29" s="116"/>
    </row>
    <row r="30" spans="1:7">
      <c r="A30" s="114"/>
      <c r="B30" s="114"/>
      <c r="C30" s="115"/>
      <c r="D30" s="115"/>
      <c r="E30" s="115"/>
      <c r="F30" s="116"/>
      <c r="G30" s="116"/>
    </row>
    <row r="31" spans="1:7">
      <c r="A31" s="114"/>
      <c r="B31" s="114"/>
      <c r="C31" s="115"/>
      <c r="D31" s="115"/>
      <c r="E31" s="115"/>
      <c r="F31" s="116"/>
      <c r="G31" s="116"/>
    </row>
    <row r="32" spans="1:7">
      <c r="A32" s="114"/>
      <c r="B32" s="114"/>
      <c r="C32" s="115"/>
      <c r="D32" s="115"/>
      <c r="E32" s="115"/>
      <c r="F32" s="116"/>
      <c r="G32" s="116"/>
    </row>
    <row r="33" spans="1:7">
      <c r="A33" s="114"/>
      <c r="B33" s="114"/>
      <c r="C33" s="115"/>
      <c r="D33" s="115"/>
      <c r="E33" s="115"/>
      <c r="F33" s="116"/>
      <c r="G33" s="116"/>
    </row>
    <row r="34" spans="1:7">
      <c r="A34" s="114"/>
      <c r="B34" s="114"/>
      <c r="C34" s="115"/>
      <c r="D34" s="115"/>
      <c r="E34" s="115"/>
      <c r="F34" s="116"/>
      <c r="G34" s="116"/>
    </row>
    <row r="35" spans="1:7">
      <c r="A35" s="114"/>
      <c r="B35" s="114"/>
      <c r="C35" s="115"/>
      <c r="D35" s="115"/>
      <c r="E35" s="115"/>
      <c r="F35" s="116"/>
      <c r="G35" s="116"/>
    </row>
    <row r="36" spans="1:7">
      <c r="A36" s="114"/>
      <c r="B36" s="114"/>
      <c r="C36" s="115"/>
      <c r="D36" s="115"/>
      <c r="E36" s="115"/>
      <c r="F36" s="116"/>
      <c r="G36" s="116"/>
    </row>
    <row r="37" spans="1:7">
      <c r="A37" s="114"/>
      <c r="B37" s="114"/>
      <c r="C37" s="115"/>
      <c r="D37" s="115"/>
      <c r="E37" s="115"/>
      <c r="F37" s="116"/>
      <c r="G37" s="116"/>
    </row>
    <row r="38" spans="1:7">
      <c r="A38" s="114"/>
      <c r="B38" s="114"/>
      <c r="C38" s="115"/>
      <c r="D38" s="115"/>
      <c r="E38" s="115"/>
      <c r="F38" s="116"/>
      <c r="G38" s="116"/>
    </row>
    <row r="39" spans="1:7">
      <c r="A39" s="114"/>
      <c r="B39" s="114"/>
      <c r="C39" s="115"/>
      <c r="D39" s="115"/>
      <c r="E39" s="115"/>
      <c r="F39" s="116"/>
      <c r="G39" s="116"/>
    </row>
    <row r="40" spans="1:7">
      <c r="A40" s="114"/>
      <c r="B40" s="114"/>
      <c r="C40" s="115"/>
      <c r="D40" s="115"/>
      <c r="E40" s="115"/>
      <c r="F40" s="116"/>
      <c r="G40" s="116"/>
    </row>
    <row r="41" spans="1:7">
      <c r="A41" s="114"/>
      <c r="B41" s="114"/>
      <c r="C41" s="115"/>
      <c r="D41" s="115"/>
      <c r="E41" s="115"/>
      <c r="F41" s="116"/>
      <c r="G41" s="116"/>
    </row>
    <row r="42" spans="1:7">
      <c r="A42" s="114"/>
      <c r="B42" s="114"/>
      <c r="C42" s="115"/>
      <c r="D42" s="115"/>
      <c r="E42" s="115"/>
      <c r="F42" s="116"/>
      <c r="G42" s="116"/>
    </row>
    <row r="43" spans="1:7">
      <c r="A43" s="114"/>
      <c r="B43" s="114"/>
      <c r="C43" s="115"/>
      <c r="D43" s="115"/>
      <c r="E43" s="115"/>
      <c r="F43" s="116"/>
      <c r="G43" s="116"/>
    </row>
    <row r="44" spans="1:7">
      <c r="A44" s="114"/>
      <c r="B44" s="114"/>
      <c r="C44" s="115"/>
      <c r="D44" s="115"/>
      <c r="E44" s="115"/>
      <c r="F44" s="116"/>
      <c r="G44" s="116"/>
    </row>
    <row r="45" spans="1:7">
      <c r="A45" s="114"/>
      <c r="B45" s="114"/>
      <c r="C45" s="115"/>
      <c r="D45" s="115"/>
      <c r="E45" s="115"/>
      <c r="F45" s="116"/>
      <c r="G45" s="116"/>
    </row>
    <row r="46" spans="1:7">
      <c r="A46" s="114"/>
      <c r="B46" s="114"/>
      <c r="C46" s="115"/>
      <c r="D46" s="115"/>
      <c r="E46" s="115"/>
      <c r="F46" s="116"/>
      <c r="G46" s="116"/>
    </row>
    <row r="47" spans="1:7">
      <c r="A47" s="114"/>
      <c r="B47" s="114"/>
      <c r="C47" s="115"/>
      <c r="D47" s="115"/>
      <c r="E47" s="115"/>
      <c r="F47" s="116"/>
      <c r="G47" s="116"/>
    </row>
    <row r="48" spans="1:7">
      <c r="A48" s="114"/>
      <c r="B48" s="114"/>
      <c r="C48" s="115"/>
      <c r="D48" s="115"/>
      <c r="E48" s="115"/>
      <c r="F48" s="116"/>
      <c r="G48" s="116"/>
    </row>
    <row r="49" spans="1:7">
      <c r="A49" s="114"/>
      <c r="B49" s="114"/>
      <c r="C49" s="115"/>
      <c r="D49" s="115"/>
      <c r="E49" s="115"/>
      <c r="F49" s="116"/>
      <c r="G49" s="116"/>
    </row>
    <row r="50" spans="1:7">
      <c r="A50" s="114"/>
      <c r="B50" s="114"/>
      <c r="C50" s="115"/>
      <c r="D50" s="115"/>
      <c r="E50" s="115"/>
      <c r="F50" s="116"/>
      <c r="G50" s="116"/>
    </row>
    <row r="51" spans="1:7">
      <c r="A51" s="114"/>
      <c r="B51" s="114"/>
      <c r="C51" s="115"/>
      <c r="D51" s="115"/>
      <c r="E51" s="115"/>
      <c r="F51" s="116"/>
      <c r="G51" s="116"/>
    </row>
    <row r="52" spans="1:7">
      <c r="A52" s="114"/>
      <c r="B52" s="114"/>
      <c r="C52" s="115"/>
      <c r="D52" s="115"/>
      <c r="E52" s="115"/>
      <c r="F52" s="116"/>
      <c r="G52" s="116"/>
    </row>
    <row r="53" spans="1:7">
      <c r="A53" s="114"/>
      <c r="B53" s="114"/>
      <c r="C53" s="115"/>
      <c r="D53" s="115"/>
      <c r="E53" s="115"/>
      <c r="F53" s="116"/>
      <c r="G53" s="116"/>
    </row>
    <row r="54" spans="1:7">
      <c r="A54" s="114"/>
      <c r="B54" s="114"/>
      <c r="C54" s="115"/>
      <c r="D54" s="115"/>
      <c r="E54" s="115"/>
      <c r="F54" s="116"/>
      <c r="G54" s="116"/>
    </row>
    <row r="55" spans="1:7">
      <c r="A55" s="114"/>
      <c r="B55" s="114"/>
      <c r="C55" s="115"/>
      <c r="D55" s="115"/>
      <c r="E55" s="115"/>
      <c r="F55" s="116"/>
      <c r="G55" s="116"/>
    </row>
    <row r="56" spans="1:7">
      <c r="A56" s="114"/>
      <c r="B56" s="114"/>
      <c r="C56" s="115"/>
      <c r="D56" s="115"/>
      <c r="E56" s="115"/>
      <c r="F56" s="116"/>
      <c r="G56" s="116"/>
    </row>
    <row r="57" spans="1:7">
      <c r="A57" s="114"/>
      <c r="B57" s="114"/>
      <c r="C57" s="115"/>
      <c r="D57" s="115"/>
      <c r="E57" s="115"/>
      <c r="F57" s="116"/>
      <c r="G57" s="116"/>
    </row>
    <row r="58" spans="1:7">
      <c r="A58" s="114"/>
      <c r="B58" s="114"/>
      <c r="C58" s="115"/>
      <c r="D58" s="115"/>
      <c r="E58" s="115"/>
      <c r="F58" s="116"/>
      <c r="G58" s="116"/>
    </row>
    <row r="59" spans="1:7">
      <c r="A59" s="114"/>
      <c r="B59" s="114"/>
      <c r="C59" s="115"/>
      <c r="D59" s="115"/>
      <c r="E59" s="115"/>
      <c r="F59" s="116"/>
      <c r="G59" s="116"/>
    </row>
    <row r="60" spans="1:7">
      <c r="A60" s="114"/>
      <c r="B60" s="114"/>
      <c r="C60" s="115"/>
      <c r="D60" s="115"/>
      <c r="E60" s="115"/>
      <c r="F60" s="116"/>
      <c r="G60" s="116"/>
    </row>
    <row r="61" spans="1:7">
      <c r="A61" s="114"/>
      <c r="B61" s="114"/>
      <c r="C61" s="115"/>
      <c r="D61" s="115"/>
      <c r="E61" s="115"/>
      <c r="F61" s="116"/>
      <c r="G61" s="116"/>
    </row>
    <row r="62" spans="1:7">
      <c r="A62" s="114"/>
      <c r="B62" s="114"/>
      <c r="C62" s="115"/>
      <c r="D62" s="115"/>
      <c r="E62" s="115"/>
      <c r="F62" s="116"/>
      <c r="G62" s="116"/>
    </row>
    <row r="63" spans="1:7">
      <c r="A63" s="114"/>
      <c r="B63" s="114"/>
      <c r="C63" s="115"/>
      <c r="D63" s="115"/>
      <c r="E63" s="115"/>
      <c r="F63" s="116"/>
      <c r="G63" s="116"/>
    </row>
    <row r="64" spans="1:7">
      <c r="A64" s="114"/>
      <c r="B64" s="114"/>
      <c r="C64" s="115"/>
      <c r="D64" s="115"/>
      <c r="E64" s="115"/>
      <c r="F64" s="116"/>
      <c r="G64" s="116"/>
    </row>
    <row r="65" spans="1:7">
      <c r="A65" s="114"/>
      <c r="B65" s="114"/>
      <c r="C65" s="115"/>
      <c r="D65" s="115"/>
      <c r="E65" s="115"/>
      <c r="F65" s="116"/>
      <c r="G65" s="116"/>
    </row>
    <row r="66" spans="1:7">
      <c r="A66" s="114"/>
      <c r="B66" s="114"/>
      <c r="C66" s="115"/>
      <c r="D66" s="115"/>
      <c r="E66" s="115"/>
      <c r="F66" s="116"/>
      <c r="G66" s="116"/>
    </row>
    <row r="67" spans="1:7">
      <c r="A67" s="114"/>
      <c r="B67" s="114"/>
      <c r="C67" s="115"/>
      <c r="D67" s="115"/>
      <c r="E67" s="115"/>
      <c r="F67" s="116"/>
      <c r="G67" s="116"/>
    </row>
    <row r="68" spans="1:7">
      <c r="A68" s="114"/>
      <c r="B68" s="114"/>
      <c r="C68" s="115"/>
      <c r="D68" s="115"/>
      <c r="E68" s="115"/>
      <c r="F68" s="116"/>
      <c r="G68" s="116"/>
    </row>
    <row r="69" spans="1:7">
      <c r="A69" s="114"/>
      <c r="B69" s="114"/>
      <c r="C69" s="115"/>
      <c r="D69" s="115"/>
      <c r="E69" s="115"/>
      <c r="F69" s="116"/>
      <c r="G69" s="116"/>
    </row>
    <row r="70" spans="1:7">
      <c r="A70" s="114"/>
      <c r="B70" s="114"/>
      <c r="C70" s="115"/>
      <c r="D70" s="115"/>
      <c r="E70" s="115"/>
      <c r="F70" s="116"/>
      <c r="G70" s="116"/>
    </row>
    <row r="71" spans="1:7">
      <c r="A71" s="114"/>
      <c r="B71" s="114"/>
      <c r="C71" s="115"/>
      <c r="D71" s="115"/>
      <c r="E71" s="115"/>
      <c r="F71" s="116"/>
      <c r="G71" s="116"/>
    </row>
    <row r="72" spans="1:7">
      <c r="A72" s="114"/>
      <c r="B72" s="114"/>
      <c r="C72" s="115"/>
      <c r="D72" s="115"/>
      <c r="E72" s="115"/>
      <c r="F72" s="116"/>
      <c r="G72" s="116"/>
    </row>
    <row r="73" spans="1:7">
      <c r="A73" s="114"/>
      <c r="B73" s="114"/>
      <c r="C73" s="115"/>
      <c r="D73" s="115"/>
      <c r="E73" s="115"/>
      <c r="F73" s="116"/>
      <c r="G73" s="116"/>
    </row>
    <row r="74" spans="1:7">
      <c r="A74" s="114"/>
      <c r="B74" s="114"/>
      <c r="C74" s="115"/>
      <c r="D74" s="115"/>
      <c r="E74" s="115"/>
      <c r="F74" s="116"/>
      <c r="G74" s="116"/>
    </row>
    <row r="75" spans="1:7">
      <c r="A75" s="114"/>
      <c r="B75" s="114"/>
      <c r="C75" s="115"/>
      <c r="D75" s="115"/>
      <c r="E75" s="115"/>
      <c r="F75" s="116"/>
      <c r="G75" s="116"/>
    </row>
    <row r="76" spans="1:7">
      <c r="A76" s="114"/>
      <c r="B76" s="114"/>
      <c r="C76" s="115"/>
      <c r="D76" s="115"/>
      <c r="E76" s="115"/>
      <c r="F76" s="116"/>
      <c r="G76" s="116"/>
    </row>
    <row r="77" spans="1:7">
      <c r="A77" s="114"/>
      <c r="B77" s="114"/>
      <c r="C77" s="115"/>
      <c r="D77" s="115"/>
      <c r="E77" s="115"/>
      <c r="F77" s="116"/>
      <c r="G77" s="116"/>
    </row>
    <row r="78" spans="1:7">
      <c r="A78" s="114"/>
      <c r="B78" s="114"/>
      <c r="C78" s="115"/>
      <c r="D78" s="115"/>
      <c r="E78" s="115"/>
      <c r="F78" s="116"/>
      <c r="G78" s="116"/>
    </row>
    <row r="79" spans="1:7">
      <c r="A79" s="114"/>
      <c r="B79" s="114"/>
      <c r="C79" s="115"/>
      <c r="D79" s="115"/>
      <c r="E79" s="115"/>
      <c r="F79" s="116"/>
      <c r="G79" s="116"/>
    </row>
    <row r="80" spans="1:7">
      <c r="A80" s="114"/>
      <c r="B80" s="114"/>
      <c r="C80" s="115"/>
      <c r="D80" s="115"/>
      <c r="E80" s="115"/>
      <c r="F80" s="116"/>
      <c r="G80" s="116"/>
    </row>
    <row r="81" spans="1:7">
      <c r="A81" s="114"/>
      <c r="B81" s="114"/>
      <c r="C81" s="115"/>
      <c r="D81" s="115"/>
      <c r="E81" s="115"/>
      <c r="F81" s="116"/>
      <c r="G81" s="116"/>
    </row>
    <row r="82" spans="1:7">
      <c r="A82" s="114"/>
      <c r="B82" s="114"/>
      <c r="C82" s="115"/>
      <c r="D82" s="115"/>
      <c r="E82" s="115"/>
      <c r="F82" s="116"/>
      <c r="G82" s="116"/>
    </row>
    <row r="83" spans="1:7">
      <c r="A83" s="114"/>
      <c r="B83" s="114"/>
      <c r="C83" s="115"/>
      <c r="D83" s="115"/>
      <c r="E83" s="115"/>
      <c r="F83" s="116"/>
      <c r="G83" s="116"/>
    </row>
    <row r="84" spans="1:7">
      <c r="A84" s="114"/>
      <c r="B84" s="114"/>
      <c r="C84" s="115"/>
      <c r="D84" s="115"/>
      <c r="E84" s="115"/>
      <c r="F84" s="116"/>
      <c r="G84" s="116"/>
    </row>
    <row r="85" spans="1:7">
      <c r="A85" s="114"/>
      <c r="B85" s="114"/>
      <c r="C85" s="115"/>
      <c r="D85" s="115"/>
      <c r="E85" s="115"/>
      <c r="F85" s="116"/>
      <c r="G85" s="116"/>
    </row>
    <row r="86" spans="1:7">
      <c r="A86" s="114"/>
      <c r="B86" s="114"/>
      <c r="C86" s="115"/>
      <c r="D86" s="115"/>
      <c r="E86" s="115"/>
      <c r="F86" s="116"/>
      <c r="G86" s="116"/>
    </row>
    <row r="87" spans="1:7">
      <c r="A87" s="114"/>
      <c r="B87" s="114"/>
      <c r="C87" s="115"/>
      <c r="D87" s="115"/>
      <c r="E87" s="115"/>
      <c r="F87" s="116"/>
      <c r="G87" s="116"/>
    </row>
    <row r="88" spans="1:7">
      <c r="A88" s="114"/>
      <c r="B88" s="114"/>
      <c r="C88" s="115"/>
      <c r="D88" s="115"/>
      <c r="E88" s="115"/>
      <c r="F88" s="116"/>
      <c r="G88" s="116"/>
    </row>
    <row r="89" spans="1:7">
      <c r="A89" s="114"/>
      <c r="B89" s="114"/>
      <c r="C89" s="115"/>
      <c r="D89" s="115"/>
      <c r="E89" s="115"/>
      <c r="F89" s="116"/>
      <c r="G89" s="116"/>
    </row>
    <row r="90" spans="1:7">
      <c r="A90" s="114"/>
      <c r="B90" s="114"/>
      <c r="C90" s="115"/>
      <c r="D90" s="115"/>
      <c r="E90" s="115"/>
      <c r="F90" s="116"/>
      <c r="G90" s="116"/>
    </row>
    <row r="91" spans="1:7">
      <c r="A91" s="114"/>
      <c r="B91" s="114"/>
      <c r="C91" s="115"/>
      <c r="D91" s="115"/>
      <c r="E91" s="115"/>
      <c r="F91" s="116"/>
      <c r="G91" s="116"/>
    </row>
    <row r="92" spans="1:7">
      <c r="A92" s="114"/>
      <c r="B92" s="114"/>
      <c r="C92" s="115"/>
      <c r="D92" s="115"/>
      <c r="E92" s="115"/>
      <c r="F92" s="116"/>
      <c r="G92" s="116"/>
    </row>
    <row r="93" spans="1:7">
      <c r="A93" s="114"/>
      <c r="B93" s="114"/>
      <c r="C93" s="115"/>
      <c r="D93" s="115"/>
      <c r="E93" s="115"/>
      <c r="F93" s="116"/>
      <c r="G93" s="116"/>
    </row>
    <row r="94" spans="1:7">
      <c r="A94" s="114"/>
      <c r="B94" s="114"/>
      <c r="C94" s="115"/>
      <c r="D94" s="115"/>
      <c r="E94" s="115"/>
      <c r="F94" s="116"/>
      <c r="G94" s="116"/>
    </row>
    <row r="95" spans="1:7">
      <c r="A95" s="114"/>
      <c r="B95" s="114"/>
      <c r="C95" s="115"/>
      <c r="D95" s="115"/>
      <c r="E95" s="115"/>
      <c r="F95" s="116"/>
      <c r="G95" s="116"/>
    </row>
    <row r="96" spans="1:7">
      <c r="A96" s="114"/>
      <c r="B96" s="114"/>
      <c r="C96" s="115"/>
      <c r="D96" s="115"/>
      <c r="E96" s="115"/>
      <c r="F96" s="116"/>
      <c r="G96" s="116"/>
    </row>
    <row r="97" spans="1:7">
      <c r="A97" s="114"/>
      <c r="B97" s="114"/>
      <c r="C97" s="115"/>
      <c r="D97" s="115"/>
      <c r="E97" s="115"/>
      <c r="F97" s="116"/>
      <c r="G97" s="116"/>
    </row>
    <row r="98" spans="1:7">
      <c r="A98" s="114"/>
      <c r="B98" s="114"/>
      <c r="C98" s="115"/>
      <c r="D98" s="115"/>
      <c r="E98" s="115"/>
      <c r="F98" s="116"/>
      <c r="G98" s="116"/>
    </row>
    <row r="99" spans="1:7">
      <c r="A99" s="114"/>
      <c r="B99" s="114"/>
      <c r="C99" s="115"/>
      <c r="D99" s="115"/>
      <c r="E99" s="115"/>
      <c r="F99" s="116"/>
      <c r="G99" s="116"/>
    </row>
    <row r="100" spans="1:7">
      <c r="A100" s="114"/>
      <c r="B100" s="114"/>
      <c r="C100" s="115"/>
      <c r="D100" s="115"/>
      <c r="E100" s="115"/>
      <c r="F100" s="116"/>
      <c r="G100" s="116"/>
    </row>
    <row r="101" spans="1:7">
      <c r="A101" s="114"/>
      <c r="B101" s="114"/>
      <c r="C101" s="115"/>
      <c r="D101" s="115"/>
      <c r="E101" s="115"/>
      <c r="F101" s="116"/>
      <c r="G101" s="116"/>
    </row>
    <row r="102" spans="1:7">
      <c r="A102" s="114"/>
      <c r="B102" s="114"/>
      <c r="C102" s="115"/>
      <c r="D102" s="115"/>
      <c r="E102" s="115"/>
      <c r="F102" s="116"/>
      <c r="G102" s="116"/>
    </row>
    <row r="103" spans="1:7">
      <c r="A103" s="114"/>
      <c r="B103" s="114"/>
      <c r="C103" s="115"/>
      <c r="D103" s="115"/>
      <c r="E103" s="115"/>
      <c r="F103" s="116"/>
      <c r="G103" s="116"/>
    </row>
    <row r="104" spans="1:7">
      <c r="A104" s="114"/>
      <c r="B104" s="114"/>
      <c r="C104" s="115"/>
      <c r="D104" s="115"/>
      <c r="E104" s="115"/>
      <c r="F104" s="116"/>
      <c r="G104" s="116"/>
    </row>
    <row r="105" spans="1:7">
      <c r="A105" s="114"/>
      <c r="B105" s="114"/>
      <c r="C105" s="115"/>
      <c r="D105" s="115"/>
      <c r="E105" s="115"/>
      <c r="F105" s="116"/>
      <c r="G105" s="116"/>
    </row>
    <row r="106" spans="1:7">
      <c r="A106" s="114"/>
      <c r="B106" s="114"/>
      <c r="C106" s="115"/>
      <c r="D106" s="115"/>
      <c r="E106" s="115"/>
      <c r="F106" s="116"/>
      <c r="G106" s="116"/>
    </row>
    <row r="107" spans="1:7">
      <c r="A107" s="114"/>
      <c r="B107" s="114"/>
      <c r="C107" s="115"/>
      <c r="D107" s="115"/>
      <c r="E107" s="115"/>
      <c r="F107" s="116"/>
      <c r="G107" s="116"/>
    </row>
    <row r="108" spans="1:7">
      <c r="A108" s="114"/>
      <c r="B108" s="114"/>
      <c r="C108" s="115"/>
      <c r="D108" s="115"/>
      <c r="E108" s="115"/>
      <c r="F108" s="116"/>
      <c r="G108" s="116"/>
    </row>
    <row r="109" spans="1:7">
      <c r="A109" s="114"/>
      <c r="B109" s="114"/>
      <c r="C109" s="115"/>
      <c r="D109" s="115"/>
      <c r="E109" s="115"/>
      <c r="F109" s="116"/>
      <c r="G109" s="116"/>
    </row>
    <row r="110" spans="1:7">
      <c r="A110" s="114"/>
      <c r="B110" s="114"/>
      <c r="C110" s="115"/>
      <c r="D110" s="115"/>
      <c r="E110" s="115"/>
      <c r="F110" s="116"/>
      <c r="G110" s="116"/>
    </row>
    <row r="111" spans="1:7">
      <c r="A111" s="114"/>
      <c r="B111" s="114"/>
      <c r="C111" s="115"/>
      <c r="D111" s="115"/>
      <c r="E111" s="115"/>
      <c r="F111" s="116"/>
      <c r="G111" s="116"/>
    </row>
    <row r="112" spans="1:7">
      <c r="A112" s="114"/>
      <c r="B112" s="114"/>
      <c r="C112" s="115"/>
      <c r="D112" s="115"/>
      <c r="E112" s="115"/>
      <c r="F112" s="116"/>
      <c r="G112" s="116"/>
    </row>
    <row r="113" spans="1:7">
      <c r="A113" s="114"/>
      <c r="B113" s="114"/>
      <c r="C113" s="115"/>
      <c r="D113" s="115"/>
      <c r="E113" s="115"/>
      <c r="F113" s="116"/>
      <c r="G113" s="116"/>
    </row>
    <row r="114" spans="1:7">
      <c r="A114" s="114"/>
      <c r="B114" s="114"/>
      <c r="C114" s="115"/>
      <c r="D114" s="115"/>
      <c r="E114" s="115"/>
      <c r="F114" s="116"/>
      <c r="G114" s="116"/>
    </row>
    <row r="115" spans="1:7">
      <c r="A115" s="114"/>
      <c r="B115" s="114"/>
      <c r="C115" s="115"/>
      <c r="D115" s="115"/>
      <c r="E115" s="115"/>
      <c r="F115" s="116"/>
      <c r="G115" s="116"/>
    </row>
    <row r="116" spans="1:7">
      <c r="A116" s="114"/>
      <c r="B116" s="114"/>
      <c r="C116" s="115"/>
      <c r="D116" s="115"/>
      <c r="E116" s="115"/>
      <c r="F116" s="116"/>
      <c r="G116" s="116"/>
    </row>
    <row r="117" spans="1:7">
      <c r="A117" s="114"/>
      <c r="B117" s="114"/>
      <c r="C117" s="115"/>
      <c r="D117" s="115"/>
      <c r="E117" s="115"/>
      <c r="F117" s="116"/>
      <c r="G117" s="116"/>
    </row>
    <row r="118" spans="1:7">
      <c r="A118" s="114"/>
      <c r="B118" s="114"/>
      <c r="C118" s="115"/>
      <c r="D118" s="115"/>
      <c r="E118" s="115"/>
      <c r="F118" s="116"/>
      <c r="G118" s="116"/>
    </row>
    <row r="119" spans="1:7">
      <c r="A119" s="114"/>
      <c r="B119" s="114"/>
      <c r="C119" s="115"/>
      <c r="D119" s="115"/>
      <c r="E119" s="115"/>
      <c r="F119" s="116"/>
      <c r="G119" s="116"/>
    </row>
    <row r="120" spans="1:7">
      <c r="A120" s="114"/>
      <c r="B120" s="114"/>
      <c r="C120" s="115"/>
      <c r="D120" s="115"/>
      <c r="E120" s="115"/>
      <c r="F120" s="116"/>
      <c r="G120" s="116"/>
    </row>
    <row r="121" spans="1:7">
      <c r="A121" s="114"/>
      <c r="B121" s="114"/>
      <c r="C121" s="115"/>
      <c r="D121" s="115"/>
      <c r="E121" s="115"/>
      <c r="F121" s="116"/>
      <c r="G121" s="116"/>
    </row>
    <row r="122" spans="1:7">
      <c r="A122" s="114"/>
      <c r="B122" s="114"/>
      <c r="C122" s="115"/>
      <c r="D122" s="115"/>
      <c r="E122" s="115"/>
      <c r="F122" s="116"/>
      <c r="G122" s="116"/>
    </row>
    <row r="123" spans="1:7">
      <c r="A123" s="114"/>
      <c r="B123" s="114"/>
      <c r="C123" s="115"/>
      <c r="D123" s="115"/>
      <c r="E123" s="115"/>
      <c r="F123" s="116"/>
      <c r="G123" s="116"/>
    </row>
    <row r="124" spans="1:7">
      <c r="A124" s="114"/>
      <c r="B124" s="114"/>
      <c r="C124" s="115"/>
      <c r="D124" s="115"/>
      <c r="E124" s="115"/>
      <c r="F124" s="116"/>
      <c r="G124" s="116"/>
    </row>
    <row r="125" spans="1:7">
      <c r="A125" s="114"/>
      <c r="B125" s="114"/>
      <c r="C125" s="115"/>
      <c r="D125" s="115"/>
      <c r="E125" s="115"/>
      <c r="F125" s="116"/>
      <c r="G125" s="116"/>
    </row>
    <row r="126" spans="1:7">
      <c r="A126" s="114"/>
      <c r="B126" s="114"/>
      <c r="C126" s="115"/>
      <c r="D126" s="115"/>
      <c r="E126" s="115"/>
      <c r="F126" s="116"/>
      <c r="G126" s="116"/>
    </row>
    <row r="127" spans="1:7">
      <c r="A127" s="114"/>
      <c r="B127" s="114"/>
      <c r="C127" s="115"/>
      <c r="D127" s="115"/>
      <c r="E127" s="115"/>
      <c r="F127" s="116"/>
      <c r="G127" s="116"/>
    </row>
    <row r="128" spans="1:7">
      <c r="A128" s="114"/>
      <c r="B128" s="114"/>
      <c r="C128" s="115"/>
      <c r="D128" s="115"/>
      <c r="E128" s="115"/>
      <c r="F128" s="116"/>
      <c r="G128" s="116"/>
    </row>
    <row r="129" spans="1:7">
      <c r="A129" s="114"/>
      <c r="B129" s="114"/>
      <c r="C129" s="115"/>
      <c r="D129" s="115"/>
      <c r="E129" s="115"/>
      <c r="F129" s="116"/>
      <c r="G129" s="116"/>
    </row>
    <row r="130" spans="1:7">
      <c r="A130" s="114"/>
      <c r="B130" s="114"/>
      <c r="C130" s="115"/>
      <c r="D130" s="115"/>
      <c r="E130" s="115"/>
      <c r="F130" s="116"/>
      <c r="G130" s="116"/>
    </row>
    <row r="131" spans="1:7">
      <c r="A131" s="114"/>
      <c r="B131" s="114"/>
      <c r="C131" s="115"/>
      <c r="D131" s="115"/>
      <c r="E131" s="115"/>
      <c r="F131" s="116"/>
      <c r="G131" s="116"/>
    </row>
    <row r="132" spans="1:7">
      <c r="A132" s="114"/>
      <c r="B132" s="114"/>
      <c r="C132" s="115"/>
      <c r="D132" s="115"/>
      <c r="E132" s="115"/>
      <c r="F132" s="116"/>
      <c r="G132" s="116"/>
    </row>
    <row r="133" spans="1:7">
      <c r="A133" s="114"/>
      <c r="B133" s="114"/>
      <c r="C133" s="115"/>
      <c r="D133" s="115"/>
      <c r="E133" s="115"/>
      <c r="F133" s="116"/>
      <c r="G133" s="116"/>
    </row>
    <row r="134" spans="1:7">
      <c r="A134" s="114"/>
      <c r="B134" s="114"/>
      <c r="C134" s="115"/>
      <c r="D134" s="115"/>
      <c r="E134" s="115"/>
      <c r="F134" s="116"/>
      <c r="G134" s="116"/>
    </row>
    <row r="135" spans="1:7">
      <c r="A135" s="114"/>
      <c r="B135" s="114"/>
      <c r="C135" s="115"/>
      <c r="D135" s="115"/>
      <c r="E135" s="115"/>
      <c r="F135" s="116"/>
      <c r="G135" s="116"/>
    </row>
    <row r="136" spans="1:7">
      <c r="A136" s="114"/>
      <c r="B136" s="114"/>
      <c r="C136" s="115"/>
      <c r="D136" s="115"/>
      <c r="E136" s="115"/>
      <c r="F136" s="116"/>
      <c r="G136" s="116"/>
    </row>
    <row r="137" spans="1:7">
      <c r="A137" s="114"/>
      <c r="B137" s="114"/>
      <c r="C137" s="115"/>
      <c r="D137" s="115"/>
      <c r="E137" s="115"/>
      <c r="F137" s="116"/>
      <c r="G137" s="116"/>
    </row>
    <row r="138" spans="1:7">
      <c r="A138" s="114"/>
      <c r="B138" s="114"/>
      <c r="C138" s="115"/>
      <c r="D138" s="115"/>
      <c r="E138" s="115"/>
      <c r="F138" s="116"/>
      <c r="G138" s="116"/>
    </row>
    <row r="139" spans="1:7">
      <c r="A139" s="114"/>
      <c r="B139" s="114"/>
      <c r="C139" s="115"/>
      <c r="D139" s="115"/>
      <c r="E139" s="115"/>
      <c r="F139" s="116"/>
      <c r="G139" s="116"/>
    </row>
    <row r="140" spans="1:7">
      <c r="A140" s="114"/>
      <c r="B140" s="114"/>
      <c r="C140" s="115"/>
      <c r="D140" s="115"/>
      <c r="E140" s="115"/>
      <c r="F140" s="116"/>
      <c r="G140" s="116"/>
    </row>
    <row r="141" spans="1:7">
      <c r="A141" s="114"/>
      <c r="B141" s="114"/>
      <c r="C141" s="115"/>
      <c r="D141" s="115"/>
      <c r="E141" s="115"/>
      <c r="F141" s="116"/>
      <c r="G141" s="116"/>
    </row>
    <row r="142" spans="1:7">
      <c r="A142" s="114"/>
      <c r="B142" s="114"/>
      <c r="C142" s="115"/>
      <c r="D142" s="115"/>
      <c r="E142" s="115"/>
      <c r="F142" s="116"/>
      <c r="G142" s="116"/>
    </row>
    <row r="143" spans="1:7">
      <c r="A143" s="114"/>
      <c r="B143" s="114"/>
      <c r="C143" s="115"/>
      <c r="D143" s="115"/>
      <c r="E143" s="115"/>
      <c r="F143" s="116"/>
      <c r="G143" s="116"/>
    </row>
    <row r="144" spans="1:7">
      <c r="A144" s="114"/>
      <c r="B144" s="114"/>
      <c r="C144" s="115"/>
      <c r="D144" s="115"/>
      <c r="E144" s="115"/>
      <c r="F144" s="116"/>
      <c r="G144" s="116"/>
    </row>
    <row r="145" spans="1:7">
      <c r="A145" s="114"/>
      <c r="B145" s="114"/>
      <c r="C145" s="115"/>
      <c r="D145" s="115"/>
      <c r="E145" s="115"/>
      <c r="F145" s="116"/>
      <c r="G145" s="116"/>
    </row>
    <row r="146" spans="1:7">
      <c r="A146" s="114"/>
      <c r="B146" s="114"/>
      <c r="C146" s="115"/>
      <c r="D146" s="115"/>
      <c r="E146" s="115"/>
      <c r="F146" s="116"/>
      <c r="G146" s="116"/>
    </row>
    <row r="147" spans="1:7">
      <c r="A147" s="114"/>
      <c r="B147" s="114"/>
      <c r="C147" s="115"/>
      <c r="D147" s="115"/>
      <c r="E147" s="115"/>
      <c r="F147" s="116"/>
      <c r="G147" s="116"/>
    </row>
    <row r="148" spans="1:7">
      <c r="A148" s="114"/>
      <c r="B148" s="114"/>
      <c r="C148" s="115"/>
      <c r="D148" s="115"/>
      <c r="E148" s="115"/>
      <c r="F148" s="116"/>
      <c r="G148" s="116"/>
    </row>
    <row r="149" spans="1:7">
      <c r="A149" s="114"/>
      <c r="B149" s="114"/>
      <c r="C149" s="115"/>
      <c r="D149" s="115"/>
      <c r="E149" s="115"/>
      <c r="F149" s="116"/>
      <c r="G149" s="116"/>
    </row>
    <row r="150" spans="1:7">
      <c r="A150" s="114"/>
      <c r="B150" s="114"/>
      <c r="C150" s="115"/>
      <c r="D150" s="115"/>
      <c r="E150" s="115"/>
      <c r="F150" s="116"/>
      <c r="G150" s="116"/>
    </row>
    <row r="151" spans="1:7">
      <c r="A151" s="114"/>
      <c r="B151" s="114"/>
      <c r="C151" s="115"/>
      <c r="D151" s="115"/>
      <c r="E151" s="115"/>
      <c r="F151" s="116"/>
      <c r="G151" s="116"/>
    </row>
    <row r="152" spans="1:7">
      <c r="A152" s="114"/>
      <c r="B152" s="114"/>
      <c r="C152" s="115"/>
      <c r="D152" s="115"/>
      <c r="E152" s="115"/>
      <c r="F152" s="116"/>
      <c r="G152" s="116"/>
    </row>
    <row r="153" spans="1:7">
      <c r="A153" s="114"/>
      <c r="B153" s="114"/>
      <c r="C153" s="115"/>
      <c r="D153" s="115"/>
      <c r="E153" s="115"/>
      <c r="F153" s="116"/>
      <c r="G153" s="116"/>
    </row>
    <row r="154" spans="1:7">
      <c r="A154" s="114"/>
      <c r="B154" s="114"/>
      <c r="C154" s="115"/>
      <c r="D154" s="115"/>
      <c r="E154" s="115"/>
      <c r="F154" s="116"/>
      <c r="G154" s="116"/>
    </row>
    <row r="155" spans="1:7">
      <c r="A155" s="114"/>
      <c r="B155" s="114"/>
      <c r="C155" s="115"/>
      <c r="D155" s="115"/>
      <c r="E155" s="115"/>
      <c r="F155" s="116"/>
      <c r="G155" s="116"/>
    </row>
    <row r="156" spans="1:7">
      <c r="A156" s="114"/>
      <c r="B156" s="114"/>
      <c r="C156" s="115"/>
      <c r="D156" s="115"/>
      <c r="E156" s="115"/>
      <c r="F156" s="116"/>
      <c r="G156" s="116"/>
    </row>
    <row r="157" spans="1:7">
      <c r="A157" s="114"/>
      <c r="B157" s="114"/>
      <c r="C157" s="115"/>
      <c r="D157" s="115"/>
      <c r="E157" s="115"/>
      <c r="F157" s="116"/>
      <c r="G157" s="116"/>
    </row>
    <row r="158" spans="1:7">
      <c r="A158" s="114"/>
      <c r="B158" s="114"/>
      <c r="C158" s="115"/>
      <c r="D158" s="115"/>
      <c r="E158" s="115"/>
      <c r="F158" s="116"/>
      <c r="G158" s="116"/>
    </row>
    <row r="159" spans="1:7">
      <c r="A159" s="114"/>
      <c r="B159" s="114"/>
      <c r="C159" s="115"/>
      <c r="D159" s="115"/>
      <c r="E159" s="115"/>
      <c r="F159" s="116"/>
      <c r="G159" s="116"/>
    </row>
    <row r="160" spans="1:7">
      <c r="A160" s="114"/>
      <c r="B160" s="114"/>
      <c r="C160" s="115"/>
      <c r="D160" s="115"/>
      <c r="E160" s="115"/>
      <c r="F160" s="116"/>
      <c r="G160" s="116"/>
    </row>
    <row r="161" spans="1:7">
      <c r="A161" s="114"/>
      <c r="B161" s="114"/>
      <c r="C161" s="115"/>
      <c r="D161" s="115"/>
      <c r="E161" s="115"/>
      <c r="F161" s="116"/>
      <c r="G161" s="116"/>
    </row>
    <row r="162" spans="1:7">
      <c r="A162" s="114"/>
      <c r="B162" s="114"/>
      <c r="C162" s="115"/>
      <c r="D162" s="115"/>
      <c r="E162" s="115"/>
      <c r="F162" s="116"/>
      <c r="G162" s="116"/>
    </row>
    <row r="163" spans="1:7">
      <c r="A163" s="114"/>
      <c r="B163" s="114"/>
      <c r="C163" s="115"/>
      <c r="D163" s="115"/>
      <c r="E163" s="115"/>
      <c r="F163" s="116"/>
      <c r="G163" s="116"/>
    </row>
    <row r="164" spans="1:7">
      <c r="A164" s="114"/>
      <c r="B164" s="114"/>
      <c r="C164" s="115"/>
      <c r="D164" s="115"/>
      <c r="E164" s="115"/>
      <c r="F164" s="116"/>
      <c r="G164" s="116"/>
    </row>
    <row r="165" spans="1:7">
      <c r="A165" s="114"/>
      <c r="B165" s="114"/>
      <c r="C165" s="115"/>
      <c r="D165" s="115"/>
      <c r="E165" s="115"/>
      <c r="F165" s="116"/>
      <c r="G165" s="116"/>
    </row>
    <row r="166" spans="1:7">
      <c r="A166" s="114"/>
      <c r="B166" s="114"/>
      <c r="C166" s="115"/>
      <c r="D166" s="115"/>
      <c r="E166" s="115"/>
      <c r="F166" s="116"/>
      <c r="G166" s="116"/>
    </row>
    <row r="167" spans="1:7">
      <c r="A167" s="114"/>
      <c r="B167" s="114"/>
      <c r="C167" s="115"/>
      <c r="D167" s="115"/>
      <c r="E167" s="115"/>
      <c r="F167" s="116"/>
      <c r="G167" s="116"/>
    </row>
    <row r="168" spans="1:7">
      <c r="A168" s="114"/>
      <c r="B168" s="114"/>
      <c r="C168" s="115"/>
      <c r="D168" s="115"/>
      <c r="E168" s="115"/>
      <c r="F168" s="116"/>
      <c r="G168" s="116"/>
    </row>
    <row r="169" spans="1:7">
      <c r="A169" s="114"/>
      <c r="B169" s="114"/>
      <c r="C169" s="115"/>
      <c r="D169" s="115"/>
      <c r="E169" s="115"/>
      <c r="F169" s="116"/>
      <c r="G169" s="116"/>
    </row>
    <row r="170" spans="1:7">
      <c r="A170" s="114"/>
      <c r="B170" s="114"/>
      <c r="C170" s="115"/>
      <c r="D170" s="115"/>
      <c r="E170" s="115"/>
      <c r="F170" s="116"/>
      <c r="G170" s="116"/>
    </row>
    <row r="171" spans="1:7">
      <c r="A171" s="114"/>
      <c r="B171" s="114"/>
      <c r="C171" s="115"/>
      <c r="D171" s="115"/>
      <c r="E171" s="115"/>
      <c r="F171" s="116"/>
      <c r="G171" s="116"/>
    </row>
    <row r="172" spans="1:7">
      <c r="A172" s="114"/>
      <c r="B172" s="114"/>
      <c r="C172" s="115"/>
      <c r="D172" s="115"/>
      <c r="E172" s="115"/>
      <c r="F172" s="116"/>
      <c r="G172" s="116"/>
    </row>
    <row r="173" spans="1:7">
      <c r="A173" s="114"/>
      <c r="B173" s="114"/>
      <c r="C173" s="115"/>
      <c r="D173" s="115"/>
      <c r="E173" s="115"/>
      <c r="F173" s="116"/>
      <c r="G173" s="116"/>
    </row>
    <row r="174" spans="1:7">
      <c r="A174" s="114"/>
      <c r="B174" s="114"/>
      <c r="C174" s="115"/>
      <c r="D174" s="115"/>
      <c r="E174" s="115"/>
      <c r="F174" s="116"/>
      <c r="G174" s="116"/>
    </row>
    <row r="175" spans="1:7">
      <c r="A175" s="114"/>
      <c r="B175" s="114"/>
      <c r="C175" s="115"/>
      <c r="D175" s="115"/>
      <c r="E175" s="115"/>
      <c r="F175" s="116"/>
      <c r="G175" s="116"/>
    </row>
    <row r="176" spans="1:7">
      <c r="A176" s="114"/>
      <c r="B176" s="114"/>
      <c r="C176" s="115"/>
      <c r="D176" s="115"/>
      <c r="E176" s="115"/>
      <c r="F176" s="116"/>
      <c r="G176" s="116"/>
    </row>
    <row r="177" spans="1:7">
      <c r="A177" s="114"/>
      <c r="B177" s="114"/>
      <c r="C177" s="115"/>
      <c r="D177" s="115"/>
      <c r="E177" s="115"/>
      <c r="F177" s="116"/>
      <c r="G177" s="116"/>
    </row>
    <row r="178" spans="1:7">
      <c r="A178" s="114"/>
      <c r="B178" s="114"/>
      <c r="C178" s="115"/>
      <c r="D178" s="115"/>
      <c r="E178" s="115"/>
      <c r="F178" s="116"/>
      <c r="G178" s="116"/>
    </row>
    <row r="179" spans="1:7">
      <c r="A179" s="114"/>
      <c r="B179" s="114"/>
      <c r="C179" s="115"/>
      <c r="D179" s="115"/>
      <c r="E179" s="115"/>
      <c r="F179" s="116"/>
      <c r="G179" s="116"/>
    </row>
    <row r="180" spans="1:7">
      <c r="A180" s="114"/>
      <c r="B180" s="114"/>
      <c r="C180" s="115"/>
      <c r="D180" s="115"/>
      <c r="E180" s="115"/>
      <c r="F180" s="116"/>
      <c r="G180" s="116"/>
    </row>
    <row r="181" spans="1:7">
      <c r="A181" s="114"/>
      <c r="B181" s="114"/>
      <c r="C181" s="115"/>
      <c r="D181" s="115"/>
      <c r="E181" s="115"/>
      <c r="F181" s="116"/>
      <c r="G181" s="116"/>
    </row>
    <row r="182" spans="1:7">
      <c r="A182" s="114"/>
      <c r="B182" s="114"/>
      <c r="C182" s="115"/>
      <c r="D182" s="115"/>
      <c r="E182" s="115"/>
      <c r="F182" s="116"/>
      <c r="G182" s="116"/>
    </row>
    <row r="183" spans="1:7">
      <c r="A183" s="114"/>
      <c r="B183" s="114"/>
      <c r="C183" s="115"/>
      <c r="D183" s="115"/>
      <c r="E183" s="115"/>
      <c r="F183" s="116"/>
      <c r="G183" s="116"/>
    </row>
    <row r="184" spans="1:7">
      <c r="A184" s="114"/>
      <c r="B184" s="114"/>
      <c r="C184" s="115"/>
      <c r="D184" s="115"/>
      <c r="E184" s="115"/>
      <c r="F184" s="116"/>
      <c r="G184" s="116"/>
    </row>
    <row r="185" spans="1:7">
      <c r="A185" s="114"/>
      <c r="B185" s="114"/>
      <c r="C185" s="115"/>
      <c r="D185" s="115"/>
      <c r="E185" s="115"/>
      <c r="F185" s="116"/>
      <c r="G185" s="116"/>
    </row>
    <row r="186" spans="1:7">
      <c r="A186" s="114"/>
      <c r="B186" s="114"/>
      <c r="C186" s="115"/>
      <c r="D186" s="115"/>
      <c r="E186" s="115"/>
      <c r="F186" s="116"/>
      <c r="G186" s="116"/>
    </row>
    <row r="187" spans="1:7">
      <c r="A187" s="114"/>
      <c r="B187" s="114"/>
      <c r="C187" s="115"/>
      <c r="D187" s="115"/>
      <c r="E187" s="115"/>
      <c r="F187" s="116"/>
      <c r="G187" s="116"/>
    </row>
    <row r="188" spans="1:7">
      <c r="A188" s="114"/>
      <c r="B188" s="114"/>
      <c r="C188" s="115"/>
      <c r="D188" s="115"/>
      <c r="E188" s="115"/>
      <c r="F188" s="116"/>
      <c r="G188" s="116"/>
    </row>
    <row r="189" spans="1:7">
      <c r="A189" s="114"/>
      <c r="B189" s="114"/>
      <c r="C189" s="115"/>
      <c r="D189" s="115"/>
      <c r="E189" s="115"/>
      <c r="F189" s="116"/>
      <c r="G189" s="116"/>
    </row>
    <row r="190" spans="1:7">
      <c r="A190" s="114"/>
      <c r="B190" s="114"/>
      <c r="C190" s="115"/>
      <c r="D190" s="115"/>
      <c r="E190" s="115"/>
      <c r="F190" s="116"/>
      <c r="G190" s="116"/>
    </row>
    <row r="191" spans="1:7">
      <c r="A191" s="114"/>
      <c r="B191" s="114"/>
      <c r="C191" s="115"/>
      <c r="D191" s="115"/>
      <c r="E191" s="115"/>
      <c r="F191" s="116"/>
      <c r="G191" s="116"/>
    </row>
    <row r="192" spans="1:7">
      <c r="A192" s="114"/>
      <c r="B192" s="114"/>
      <c r="C192" s="115"/>
      <c r="D192" s="115"/>
      <c r="E192" s="115"/>
      <c r="F192" s="116"/>
      <c r="G192" s="116"/>
    </row>
    <row r="193" spans="1:7">
      <c r="A193" s="114"/>
      <c r="B193" s="114"/>
      <c r="C193" s="115"/>
      <c r="D193" s="115"/>
      <c r="E193" s="115"/>
      <c r="F193" s="116"/>
      <c r="G193" s="116"/>
    </row>
    <row r="194" spans="1:7">
      <c r="A194" s="114"/>
      <c r="B194" s="114"/>
      <c r="C194" s="115"/>
      <c r="D194" s="115"/>
      <c r="E194" s="115"/>
      <c r="F194" s="116"/>
      <c r="G194" s="116"/>
    </row>
    <row r="195" spans="1:7">
      <c r="A195" s="114"/>
      <c r="B195" s="114"/>
      <c r="C195" s="115"/>
      <c r="D195" s="115"/>
      <c r="E195" s="115"/>
      <c r="F195" s="116"/>
      <c r="G195" s="116"/>
    </row>
    <row r="196" spans="1:7">
      <c r="A196" s="114"/>
      <c r="B196" s="114"/>
      <c r="C196" s="115"/>
      <c r="D196" s="115"/>
      <c r="E196" s="115"/>
      <c r="F196" s="116"/>
      <c r="G196" s="116"/>
    </row>
    <row r="197" spans="1:7">
      <c r="A197" s="114"/>
      <c r="B197" s="114"/>
      <c r="C197" s="115"/>
      <c r="D197" s="115"/>
      <c r="E197" s="115"/>
      <c r="F197" s="116"/>
      <c r="G197" s="116"/>
    </row>
    <row r="198" spans="1:7">
      <c r="A198" s="114"/>
      <c r="B198" s="114"/>
      <c r="C198" s="115"/>
      <c r="D198" s="115"/>
      <c r="E198" s="115"/>
      <c r="F198" s="116"/>
      <c r="G198" s="116"/>
    </row>
    <row r="199" spans="1:7">
      <c r="A199" s="114"/>
      <c r="B199" s="114"/>
      <c r="C199" s="115"/>
      <c r="D199" s="115"/>
      <c r="E199" s="115"/>
      <c r="F199" s="116"/>
      <c r="G199" s="116"/>
    </row>
    <row r="200" spans="1:7">
      <c r="A200" s="114"/>
      <c r="B200" s="114"/>
      <c r="C200" s="115"/>
      <c r="D200" s="115"/>
      <c r="E200" s="115"/>
      <c r="F200" s="116"/>
      <c r="G200" s="116"/>
    </row>
    <row r="201" spans="1:7">
      <c r="A201" s="114"/>
      <c r="B201" s="114"/>
      <c r="C201" s="115"/>
      <c r="D201" s="115"/>
      <c r="E201" s="115"/>
      <c r="F201" s="116"/>
      <c r="G201" s="116"/>
    </row>
    <row r="202" spans="1:7">
      <c r="A202" s="114"/>
      <c r="B202" s="114"/>
      <c r="C202" s="115"/>
      <c r="D202" s="115"/>
      <c r="E202" s="115"/>
      <c r="F202" s="116"/>
      <c r="G202" s="116"/>
    </row>
    <row r="203" spans="1:7">
      <c r="A203" s="114"/>
      <c r="B203" s="114"/>
      <c r="C203" s="115"/>
      <c r="D203" s="115"/>
      <c r="E203" s="115"/>
      <c r="F203" s="116"/>
      <c r="G203" s="116"/>
    </row>
    <row r="204" spans="1:7">
      <c r="A204" s="114"/>
      <c r="B204" s="114"/>
      <c r="C204" s="115"/>
      <c r="D204" s="115"/>
      <c r="E204" s="115"/>
      <c r="F204" s="116"/>
      <c r="G204" s="116"/>
    </row>
    <row r="205" spans="1:7">
      <c r="A205" s="114"/>
      <c r="B205" s="114"/>
      <c r="C205" s="115"/>
      <c r="D205" s="115"/>
      <c r="E205" s="115"/>
      <c r="F205" s="116"/>
      <c r="G205" s="116"/>
    </row>
    <row r="206" spans="1:7">
      <c r="A206" s="114"/>
      <c r="B206" s="114"/>
      <c r="C206" s="115"/>
      <c r="D206" s="115"/>
      <c r="E206" s="115"/>
      <c r="F206" s="116"/>
      <c r="G206" s="116"/>
    </row>
    <row r="207" spans="1:7">
      <c r="A207" s="114"/>
      <c r="B207" s="114"/>
      <c r="C207" s="115"/>
      <c r="D207" s="115"/>
      <c r="E207" s="115"/>
      <c r="F207" s="116"/>
      <c r="G207" s="116"/>
    </row>
    <row r="208" spans="1:7">
      <c r="A208" s="114"/>
      <c r="B208" s="114"/>
      <c r="C208" s="115"/>
      <c r="D208" s="115"/>
      <c r="E208" s="115"/>
      <c r="F208" s="116"/>
      <c r="G208" s="116"/>
    </row>
    <row r="209" spans="1:7">
      <c r="A209" s="114"/>
      <c r="B209" s="114"/>
      <c r="C209" s="115"/>
      <c r="D209" s="115"/>
      <c r="E209" s="115"/>
      <c r="F209" s="116"/>
      <c r="G209" s="116"/>
    </row>
    <row r="210" spans="1:7">
      <c r="A210" s="114"/>
      <c r="B210" s="114"/>
      <c r="C210" s="115"/>
      <c r="D210" s="115"/>
      <c r="E210" s="115"/>
      <c r="F210" s="116"/>
      <c r="G210" s="116"/>
    </row>
    <row r="211" spans="1:7">
      <c r="A211" s="114"/>
      <c r="B211" s="114"/>
      <c r="C211" s="115"/>
      <c r="D211" s="115"/>
      <c r="E211" s="115"/>
      <c r="F211" s="116"/>
      <c r="G211" s="116"/>
    </row>
    <row r="212" spans="1:7">
      <c r="A212" s="114"/>
      <c r="B212" s="114"/>
      <c r="C212" s="115"/>
      <c r="D212" s="115"/>
      <c r="E212" s="115"/>
      <c r="F212" s="116"/>
      <c r="G212" s="116"/>
    </row>
    <row r="213" spans="1:7">
      <c r="A213" s="114"/>
      <c r="B213" s="114"/>
      <c r="C213" s="115"/>
      <c r="D213" s="115"/>
      <c r="E213" s="115"/>
      <c r="F213" s="116"/>
      <c r="G213" s="116"/>
    </row>
    <row r="214" spans="1:7">
      <c r="A214" s="114"/>
      <c r="B214" s="114"/>
      <c r="C214" s="115"/>
      <c r="D214" s="115"/>
      <c r="E214" s="115"/>
      <c r="F214" s="116"/>
      <c r="G214" s="116"/>
    </row>
    <row r="215" spans="1:7">
      <c r="A215" s="114"/>
      <c r="B215" s="114"/>
      <c r="C215" s="115"/>
      <c r="D215" s="115"/>
      <c r="E215" s="115"/>
      <c r="F215" s="116"/>
      <c r="G215" s="116"/>
    </row>
    <row r="216" spans="1:7">
      <c r="A216" s="114"/>
      <c r="B216" s="114"/>
      <c r="C216" s="115"/>
      <c r="D216" s="115"/>
      <c r="E216" s="115"/>
      <c r="F216" s="116"/>
      <c r="G216" s="116"/>
    </row>
    <row r="217" spans="1:7">
      <c r="A217" s="114"/>
      <c r="B217" s="114"/>
      <c r="C217" s="115"/>
      <c r="D217" s="115"/>
      <c r="E217" s="115"/>
      <c r="F217" s="116"/>
      <c r="G217" s="116"/>
    </row>
    <row r="218" spans="1:7">
      <c r="A218" s="114"/>
      <c r="B218" s="114"/>
      <c r="C218" s="115"/>
      <c r="D218" s="115"/>
      <c r="E218" s="115"/>
      <c r="F218" s="116"/>
      <c r="G218" s="116"/>
    </row>
    <row r="219" spans="1:7">
      <c r="A219" s="114"/>
      <c r="B219" s="114"/>
      <c r="C219" s="115"/>
      <c r="D219" s="115"/>
      <c r="E219" s="115"/>
      <c r="F219" s="116"/>
      <c r="G219" s="116"/>
    </row>
    <row r="220" spans="1:7">
      <c r="A220" s="114"/>
      <c r="B220" s="114"/>
      <c r="C220" s="115"/>
      <c r="D220" s="115"/>
      <c r="E220" s="115"/>
      <c r="F220" s="116"/>
      <c r="G220" s="116"/>
    </row>
    <row r="221" spans="1:7">
      <c r="A221" s="114"/>
      <c r="B221" s="114"/>
      <c r="C221" s="115"/>
      <c r="D221" s="115"/>
      <c r="E221" s="115"/>
      <c r="F221" s="116"/>
      <c r="G221" s="116"/>
    </row>
    <row r="222" spans="1:7">
      <c r="A222" s="114"/>
      <c r="B222" s="114"/>
      <c r="C222" s="115"/>
      <c r="D222" s="115"/>
      <c r="E222" s="115"/>
      <c r="F222" s="116"/>
      <c r="G222" s="116"/>
    </row>
    <row r="223" spans="1:7">
      <c r="A223" s="114"/>
      <c r="B223" s="114"/>
      <c r="C223" s="115"/>
      <c r="D223" s="115"/>
      <c r="E223" s="115"/>
      <c r="F223" s="116"/>
      <c r="G223" s="116"/>
    </row>
    <row r="224" spans="1:7">
      <c r="A224" s="114"/>
      <c r="B224" s="114"/>
      <c r="C224" s="115"/>
      <c r="D224" s="115"/>
      <c r="E224" s="115"/>
      <c r="F224" s="116"/>
      <c r="G224" s="116"/>
    </row>
    <row r="225" spans="1:7">
      <c r="A225" s="114"/>
      <c r="B225" s="114"/>
      <c r="C225" s="115"/>
      <c r="D225" s="115"/>
      <c r="E225" s="115"/>
      <c r="F225" s="116"/>
      <c r="G225" s="116"/>
    </row>
    <row r="226" spans="1:7">
      <c r="A226" s="114"/>
      <c r="B226" s="114"/>
      <c r="C226" s="115"/>
      <c r="D226" s="115"/>
      <c r="E226" s="115"/>
      <c r="F226" s="116"/>
      <c r="G226" s="116"/>
    </row>
    <row r="227" spans="1:7">
      <c r="A227" s="114"/>
      <c r="B227" s="114"/>
      <c r="C227" s="115"/>
      <c r="D227" s="115"/>
      <c r="E227" s="115"/>
      <c r="F227" s="116"/>
      <c r="G227" s="116"/>
    </row>
    <row r="228" spans="1:7">
      <c r="A228" s="114"/>
      <c r="B228" s="114"/>
      <c r="C228" s="115"/>
      <c r="D228" s="115"/>
      <c r="E228" s="115"/>
      <c r="F228" s="116"/>
      <c r="G228" s="116"/>
    </row>
    <row r="229" spans="1:7">
      <c r="A229" s="114"/>
      <c r="B229" s="114"/>
      <c r="C229" s="115"/>
      <c r="D229" s="115"/>
      <c r="E229" s="115"/>
      <c r="F229" s="116"/>
      <c r="G229" s="116"/>
    </row>
    <row r="230" spans="1:7">
      <c r="A230" s="114"/>
      <c r="B230" s="114"/>
      <c r="C230" s="115"/>
      <c r="D230" s="115"/>
      <c r="E230" s="115"/>
      <c r="F230" s="116"/>
      <c r="G230" s="116"/>
    </row>
    <row r="231" spans="1:7">
      <c r="A231" s="114"/>
      <c r="B231" s="114"/>
      <c r="C231" s="115"/>
      <c r="D231" s="115"/>
      <c r="E231" s="115"/>
      <c r="F231" s="116"/>
      <c r="G231" s="116"/>
    </row>
    <row r="232" spans="1:7">
      <c r="A232" s="114"/>
      <c r="B232" s="114"/>
      <c r="C232" s="115"/>
      <c r="D232" s="115"/>
      <c r="E232" s="115"/>
      <c r="F232" s="116"/>
      <c r="G232" s="116"/>
    </row>
    <row r="233" spans="1:7">
      <c r="A233" s="114"/>
      <c r="B233" s="114"/>
      <c r="C233" s="115"/>
      <c r="D233" s="115"/>
      <c r="E233" s="115"/>
      <c r="F233" s="116"/>
      <c r="G233" s="116"/>
    </row>
    <row r="234" spans="1:7">
      <c r="A234" s="114"/>
      <c r="B234" s="114"/>
      <c r="C234" s="115"/>
      <c r="D234" s="115"/>
      <c r="E234" s="115"/>
      <c r="F234" s="116"/>
      <c r="G234" s="116"/>
    </row>
    <row r="235" spans="1:7">
      <c r="A235" s="114"/>
      <c r="B235" s="114"/>
      <c r="C235" s="115"/>
      <c r="D235" s="115"/>
      <c r="E235" s="115"/>
      <c r="F235" s="116"/>
      <c r="G235" s="116"/>
    </row>
    <row r="236" spans="1:7">
      <c r="A236" s="114"/>
      <c r="B236" s="114"/>
      <c r="C236" s="115"/>
      <c r="D236" s="115"/>
      <c r="E236" s="115"/>
      <c r="F236" s="116"/>
      <c r="G236" s="116"/>
    </row>
    <row r="237" spans="1:7">
      <c r="A237" s="114"/>
      <c r="B237" s="114"/>
      <c r="C237" s="115"/>
      <c r="D237" s="115"/>
      <c r="E237" s="115"/>
      <c r="F237" s="116"/>
      <c r="G237" s="116"/>
    </row>
    <row r="238" spans="1:7">
      <c r="A238" s="114"/>
      <c r="B238" s="114"/>
      <c r="C238" s="115"/>
      <c r="D238" s="115"/>
      <c r="E238" s="115"/>
      <c r="F238" s="116"/>
      <c r="G238" s="116"/>
    </row>
    <row r="239" spans="1:7">
      <c r="A239" s="114"/>
      <c r="B239" s="114"/>
      <c r="C239" s="115"/>
      <c r="D239" s="115"/>
      <c r="E239" s="115"/>
      <c r="F239" s="116"/>
      <c r="G239" s="116"/>
    </row>
    <row r="240" spans="1:7">
      <c r="A240" s="114"/>
      <c r="B240" s="114"/>
      <c r="C240" s="115"/>
      <c r="D240" s="115"/>
      <c r="E240" s="115"/>
      <c r="F240" s="116"/>
      <c r="G240" s="116"/>
    </row>
    <row r="241" spans="1:7">
      <c r="A241" s="114"/>
      <c r="B241" s="114"/>
      <c r="C241" s="115"/>
      <c r="D241" s="115"/>
      <c r="E241" s="115"/>
      <c r="F241" s="116"/>
      <c r="G241" s="116"/>
    </row>
    <row r="242" spans="1:7">
      <c r="A242" s="114"/>
      <c r="B242" s="114"/>
      <c r="C242" s="115"/>
      <c r="D242" s="115"/>
      <c r="E242" s="115"/>
      <c r="F242" s="116"/>
      <c r="G242" s="116"/>
    </row>
    <row r="243" spans="1:7">
      <c r="A243" s="114"/>
      <c r="B243" s="114"/>
      <c r="C243" s="115"/>
      <c r="D243" s="115"/>
      <c r="E243" s="115"/>
      <c r="F243" s="116"/>
      <c r="G243" s="116"/>
    </row>
    <row r="244" spans="1:7">
      <c r="A244" s="114"/>
      <c r="B244" s="114"/>
      <c r="C244" s="115"/>
      <c r="D244" s="115"/>
      <c r="E244" s="115"/>
      <c r="F244" s="116"/>
      <c r="G244" s="116"/>
    </row>
    <row r="245" spans="1:7">
      <c r="A245" s="114"/>
      <c r="B245" s="114"/>
      <c r="C245" s="115"/>
      <c r="D245" s="115"/>
      <c r="E245" s="115"/>
      <c r="F245" s="116"/>
      <c r="G245" s="116"/>
    </row>
    <row r="246" spans="1:7">
      <c r="A246" s="114"/>
      <c r="B246" s="114"/>
      <c r="C246" s="115"/>
      <c r="D246" s="115"/>
      <c r="E246" s="115"/>
      <c r="F246" s="116"/>
      <c r="G246" s="116"/>
    </row>
    <row r="247" spans="1:7">
      <c r="A247" s="114"/>
      <c r="B247" s="114"/>
      <c r="C247" s="115"/>
      <c r="D247" s="115"/>
      <c r="E247" s="115"/>
      <c r="F247" s="116"/>
      <c r="G247" s="116"/>
    </row>
    <row r="248" spans="1:7">
      <c r="A248" s="114"/>
      <c r="B248" s="114"/>
      <c r="C248" s="115"/>
      <c r="D248" s="115"/>
      <c r="E248" s="115"/>
      <c r="F248" s="116"/>
      <c r="G248" s="116"/>
    </row>
    <row r="249" spans="1:7">
      <c r="A249" s="114"/>
      <c r="B249" s="114"/>
      <c r="C249" s="115"/>
      <c r="D249" s="115"/>
      <c r="E249" s="115"/>
      <c r="F249" s="116"/>
      <c r="G249" s="116"/>
    </row>
    <row r="250" spans="1:7">
      <c r="A250" s="114"/>
      <c r="B250" s="114"/>
      <c r="C250" s="115"/>
      <c r="D250" s="115"/>
      <c r="E250" s="115"/>
      <c r="F250" s="116"/>
      <c r="G250" s="116"/>
    </row>
    <row r="251" spans="1:7">
      <c r="A251" s="114"/>
      <c r="B251" s="114"/>
      <c r="C251" s="115"/>
      <c r="D251" s="115"/>
      <c r="E251" s="115"/>
      <c r="F251" s="116"/>
      <c r="G251" s="116"/>
    </row>
    <row r="252" spans="1:7">
      <c r="A252" s="114"/>
      <c r="B252" s="114"/>
      <c r="C252" s="115"/>
      <c r="D252" s="115"/>
      <c r="E252" s="115"/>
      <c r="F252" s="116"/>
      <c r="G252" s="116"/>
    </row>
    <row r="253" spans="1:7">
      <c r="A253" s="114"/>
      <c r="B253" s="114"/>
      <c r="C253" s="115"/>
      <c r="D253" s="115"/>
      <c r="E253" s="115"/>
      <c r="F253" s="116"/>
      <c r="G253" s="116"/>
    </row>
    <row r="254" spans="1:7">
      <c r="A254" s="114"/>
      <c r="B254" s="114"/>
      <c r="C254" s="115"/>
      <c r="D254" s="115"/>
      <c r="E254" s="115"/>
      <c r="F254" s="116"/>
      <c r="G254" s="116"/>
    </row>
    <row r="255" spans="1:7">
      <c r="A255" s="114"/>
      <c r="B255" s="114"/>
      <c r="C255" s="115"/>
      <c r="D255" s="115"/>
      <c r="E255" s="115"/>
      <c r="F255" s="116"/>
      <c r="G255" s="116"/>
    </row>
    <row r="256" spans="1:7">
      <c r="A256" s="114"/>
      <c r="B256" s="114"/>
      <c r="C256" s="115"/>
      <c r="D256" s="115"/>
      <c r="E256" s="115"/>
      <c r="F256" s="116"/>
      <c r="G256" s="116"/>
    </row>
    <row r="257" spans="1:7">
      <c r="A257" s="114"/>
      <c r="B257" s="114"/>
      <c r="C257" s="115"/>
      <c r="D257" s="115"/>
      <c r="E257" s="115"/>
      <c r="F257" s="116"/>
      <c r="G257" s="116"/>
    </row>
    <row r="258" spans="1:7">
      <c r="A258" s="114"/>
      <c r="B258" s="114"/>
      <c r="C258" s="115"/>
      <c r="D258" s="115"/>
      <c r="E258" s="115"/>
      <c r="F258" s="116"/>
      <c r="G258" s="116"/>
    </row>
    <row r="259" spans="1:7">
      <c r="A259" s="114"/>
      <c r="B259" s="114"/>
      <c r="C259" s="115"/>
      <c r="D259" s="115"/>
      <c r="E259" s="115"/>
      <c r="F259" s="116"/>
      <c r="G259" s="116"/>
    </row>
    <row r="260" spans="1:7">
      <c r="A260" s="114"/>
      <c r="B260" s="114"/>
      <c r="C260" s="115"/>
      <c r="D260" s="115"/>
      <c r="E260" s="115"/>
      <c r="F260" s="116"/>
      <c r="G260" s="116"/>
    </row>
    <row r="261" spans="1:7">
      <c r="A261" s="114"/>
      <c r="B261" s="114"/>
      <c r="C261" s="115"/>
      <c r="D261" s="115"/>
      <c r="E261" s="115"/>
      <c r="F261" s="116"/>
      <c r="G261" s="116"/>
    </row>
    <row r="262" spans="1:7">
      <c r="A262" s="114"/>
      <c r="B262" s="114"/>
      <c r="C262" s="115"/>
      <c r="D262" s="115"/>
      <c r="E262" s="115"/>
      <c r="F262" s="116"/>
      <c r="G262" s="116"/>
    </row>
    <row r="263" spans="1:7">
      <c r="A263" s="114"/>
      <c r="B263" s="114"/>
      <c r="C263" s="115"/>
      <c r="D263" s="115"/>
      <c r="E263" s="115"/>
      <c r="F263" s="116"/>
      <c r="G263" s="116"/>
    </row>
    <row r="264" spans="1:7">
      <c r="A264" s="114"/>
      <c r="B264" s="114"/>
      <c r="C264" s="115"/>
      <c r="D264" s="115"/>
      <c r="E264" s="115"/>
      <c r="F264" s="116"/>
      <c r="G264" s="116"/>
    </row>
    <row r="265" spans="1:7">
      <c r="A265" s="114"/>
      <c r="B265" s="114"/>
      <c r="C265" s="115"/>
      <c r="D265" s="115"/>
      <c r="E265" s="115"/>
      <c r="F265" s="116"/>
      <c r="G265" s="116"/>
    </row>
    <row r="266" spans="1:7">
      <c r="A266" s="114"/>
      <c r="B266" s="114"/>
      <c r="C266" s="115"/>
      <c r="D266" s="115"/>
      <c r="E266" s="115"/>
      <c r="F266" s="116"/>
      <c r="G266" s="116"/>
    </row>
    <row r="267" spans="1:7">
      <c r="A267" s="114"/>
      <c r="B267" s="114"/>
      <c r="C267" s="115"/>
      <c r="D267" s="115"/>
      <c r="E267" s="115"/>
      <c r="F267" s="116"/>
      <c r="G267" s="116"/>
    </row>
    <row r="268" spans="1:7">
      <c r="A268" s="114"/>
      <c r="B268" s="114"/>
      <c r="C268" s="115"/>
      <c r="D268" s="115"/>
      <c r="E268" s="115"/>
      <c r="F268" s="116"/>
      <c r="G268" s="116"/>
    </row>
    <row r="269" spans="1:7">
      <c r="A269" s="114"/>
      <c r="B269" s="114"/>
      <c r="C269" s="115"/>
      <c r="D269" s="115"/>
      <c r="E269" s="115"/>
      <c r="F269" s="116"/>
      <c r="G269" s="116"/>
    </row>
    <row r="270" spans="1:7">
      <c r="A270" s="114"/>
      <c r="B270" s="114"/>
      <c r="C270" s="115"/>
      <c r="D270" s="115"/>
      <c r="E270" s="115"/>
      <c r="F270" s="116"/>
      <c r="G270" s="116"/>
    </row>
    <row r="271" spans="1:7">
      <c r="A271" s="114"/>
      <c r="B271" s="114"/>
      <c r="C271" s="115"/>
      <c r="D271" s="115"/>
      <c r="E271" s="115"/>
      <c r="F271" s="116"/>
      <c r="G271" s="116"/>
    </row>
    <row r="272" spans="1:7">
      <c r="A272" s="114"/>
      <c r="B272" s="114"/>
      <c r="C272" s="115"/>
      <c r="D272" s="115"/>
      <c r="E272" s="115"/>
      <c r="F272" s="116"/>
      <c r="G272" s="116"/>
    </row>
    <row r="273" spans="1:7">
      <c r="A273" s="114"/>
      <c r="B273" s="114"/>
      <c r="C273" s="115"/>
      <c r="D273" s="115"/>
      <c r="E273" s="115"/>
      <c r="F273" s="116"/>
      <c r="G273" s="116"/>
    </row>
    <row r="274" spans="1:7">
      <c r="A274" s="114"/>
      <c r="B274" s="114"/>
      <c r="C274" s="115"/>
      <c r="D274" s="115"/>
      <c r="E274" s="115"/>
      <c r="F274" s="116"/>
      <c r="G274" s="116"/>
    </row>
    <row r="275" spans="1:7">
      <c r="A275" s="114"/>
      <c r="B275" s="114"/>
      <c r="C275" s="115"/>
      <c r="D275" s="115"/>
      <c r="E275" s="115"/>
      <c r="F275" s="116"/>
      <c r="G275" s="116"/>
    </row>
    <row r="276" spans="1:7">
      <c r="A276" s="114"/>
      <c r="B276" s="114"/>
      <c r="C276" s="115"/>
      <c r="D276" s="115"/>
      <c r="E276" s="115"/>
      <c r="F276" s="116"/>
      <c r="G276" s="116"/>
    </row>
    <row r="277" spans="1:7">
      <c r="A277" s="114"/>
      <c r="B277" s="114"/>
      <c r="C277" s="115"/>
      <c r="D277" s="115"/>
      <c r="E277" s="115"/>
      <c r="F277" s="116"/>
      <c r="G277" s="116"/>
    </row>
    <row r="278" spans="1:7">
      <c r="A278" s="114"/>
      <c r="B278" s="114"/>
      <c r="C278" s="115"/>
      <c r="D278" s="115"/>
      <c r="E278" s="115"/>
      <c r="F278" s="116"/>
      <c r="G278" s="116"/>
    </row>
    <row r="279" spans="1:7">
      <c r="A279" s="114"/>
      <c r="B279" s="114"/>
      <c r="C279" s="115"/>
      <c r="D279" s="115"/>
      <c r="E279" s="115"/>
      <c r="F279" s="116"/>
      <c r="G279" s="116"/>
    </row>
    <row r="280" spans="1:7">
      <c r="A280" s="114"/>
      <c r="B280" s="114"/>
      <c r="C280" s="115"/>
      <c r="D280" s="115"/>
      <c r="E280" s="115"/>
      <c r="F280" s="116"/>
      <c r="G280" s="116"/>
    </row>
    <row r="281" spans="1:7">
      <c r="A281" s="114"/>
      <c r="B281" s="114"/>
      <c r="C281" s="115"/>
      <c r="D281" s="115"/>
      <c r="E281" s="115"/>
      <c r="F281" s="116"/>
      <c r="G281" s="116"/>
    </row>
    <row r="282" spans="1:7">
      <c r="A282" s="114"/>
      <c r="B282" s="114"/>
      <c r="C282" s="115"/>
      <c r="D282" s="115"/>
      <c r="E282" s="115"/>
      <c r="F282" s="116"/>
      <c r="G282" s="116"/>
    </row>
    <row r="283" spans="1:7">
      <c r="A283" s="114"/>
      <c r="B283" s="114"/>
      <c r="C283" s="115"/>
      <c r="D283" s="115"/>
      <c r="E283" s="115"/>
      <c r="F283" s="116"/>
      <c r="G283" s="116"/>
    </row>
    <row r="284" spans="1:7">
      <c r="A284" s="114"/>
      <c r="B284" s="114"/>
      <c r="C284" s="115"/>
      <c r="D284" s="115"/>
      <c r="E284" s="115"/>
      <c r="F284" s="116"/>
      <c r="G284" s="116"/>
    </row>
    <row r="285" spans="1:7">
      <c r="A285" s="114"/>
      <c r="B285" s="114"/>
      <c r="C285" s="115"/>
      <c r="D285" s="115"/>
      <c r="E285" s="115"/>
      <c r="F285" s="116"/>
      <c r="G285" s="116"/>
    </row>
    <row r="286" spans="1:7">
      <c r="A286" s="114"/>
      <c r="B286" s="114"/>
      <c r="C286" s="115"/>
      <c r="D286" s="115"/>
      <c r="E286" s="115"/>
      <c r="F286" s="116"/>
      <c r="G286" s="116"/>
    </row>
    <row r="287" spans="1:7">
      <c r="A287" s="114"/>
      <c r="B287" s="114"/>
      <c r="C287" s="115"/>
      <c r="D287" s="115"/>
      <c r="E287" s="115"/>
      <c r="F287" s="116"/>
      <c r="G287" s="116"/>
    </row>
    <row r="288" spans="1:7">
      <c r="A288" s="114"/>
      <c r="B288" s="114"/>
      <c r="C288" s="115"/>
      <c r="D288" s="115"/>
      <c r="E288" s="115"/>
      <c r="F288" s="116"/>
      <c r="G288" s="116"/>
    </row>
    <row r="289" spans="1:7">
      <c r="A289" s="114"/>
      <c r="B289" s="114"/>
      <c r="C289" s="115"/>
      <c r="D289" s="115"/>
      <c r="E289" s="115"/>
      <c r="F289" s="116"/>
      <c r="G289" s="116"/>
    </row>
    <row r="290" spans="1:7">
      <c r="A290" s="114"/>
      <c r="B290" s="114"/>
      <c r="C290" s="115"/>
      <c r="D290" s="115"/>
      <c r="E290" s="115"/>
      <c r="F290" s="116"/>
      <c r="G290" s="116"/>
    </row>
    <row r="291" spans="1:7">
      <c r="A291" s="114"/>
      <c r="B291" s="114"/>
      <c r="C291" s="115"/>
      <c r="D291" s="115"/>
      <c r="E291" s="115"/>
      <c r="F291" s="116"/>
      <c r="G291" s="116"/>
    </row>
    <row r="292" spans="1:7">
      <c r="A292" s="114"/>
      <c r="B292" s="114"/>
      <c r="C292" s="115"/>
      <c r="D292" s="115"/>
      <c r="E292" s="115"/>
      <c r="F292" s="116"/>
      <c r="G292" s="116"/>
    </row>
    <row r="293" spans="1:7">
      <c r="A293" s="114"/>
      <c r="B293" s="114"/>
      <c r="C293" s="115"/>
      <c r="D293" s="115"/>
      <c r="E293" s="115"/>
      <c r="F293" s="116"/>
      <c r="G293" s="116"/>
    </row>
    <row r="294" spans="1:7">
      <c r="A294" s="114"/>
      <c r="B294" s="114"/>
      <c r="C294" s="115"/>
      <c r="D294" s="115"/>
      <c r="E294" s="115"/>
      <c r="F294" s="116"/>
      <c r="G294" s="116"/>
    </row>
    <row r="295" spans="1:7">
      <c r="A295" s="114"/>
      <c r="B295" s="114"/>
      <c r="C295" s="115"/>
      <c r="D295" s="115"/>
      <c r="E295" s="115"/>
      <c r="F295" s="116"/>
      <c r="G295" s="116"/>
    </row>
    <row r="296" spans="1:7">
      <c r="A296" s="114"/>
      <c r="B296" s="114"/>
      <c r="C296" s="115"/>
      <c r="D296" s="115"/>
      <c r="E296" s="115"/>
      <c r="F296" s="116"/>
      <c r="G296" s="116"/>
    </row>
    <row r="297" spans="1:7">
      <c r="A297" s="114"/>
      <c r="B297" s="114"/>
      <c r="C297" s="115"/>
      <c r="D297" s="115"/>
      <c r="E297" s="115"/>
      <c r="F297" s="116"/>
      <c r="G297" s="116"/>
    </row>
    <row r="298" spans="1:7">
      <c r="A298" s="114"/>
      <c r="B298" s="114"/>
      <c r="C298" s="115"/>
      <c r="D298" s="115"/>
      <c r="E298" s="115"/>
      <c r="F298" s="116"/>
      <c r="G298" s="116"/>
    </row>
    <row r="299" spans="1:7">
      <c r="A299" s="114"/>
      <c r="B299" s="114"/>
      <c r="C299" s="115"/>
      <c r="D299" s="115"/>
      <c r="E299" s="115"/>
      <c r="F299" s="116"/>
      <c r="G299" s="116"/>
    </row>
    <row r="300" spans="1:7">
      <c r="A300" s="114"/>
      <c r="B300" s="114"/>
      <c r="C300" s="115"/>
      <c r="D300" s="115"/>
      <c r="E300" s="115"/>
      <c r="F300" s="116"/>
      <c r="G300" s="116"/>
    </row>
    <row r="301" spans="1:7">
      <c r="A301" s="114"/>
      <c r="B301" s="114"/>
      <c r="C301" s="115"/>
      <c r="D301" s="115"/>
      <c r="E301" s="115"/>
      <c r="F301" s="116"/>
      <c r="G301" s="116"/>
    </row>
    <row r="302" spans="1:7">
      <c r="A302" s="114"/>
      <c r="B302" s="114"/>
      <c r="C302" s="115"/>
      <c r="D302" s="115"/>
      <c r="E302" s="115"/>
      <c r="F302" s="116"/>
      <c r="G302" s="116"/>
    </row>
    <row r="303" spans="1:7">
      <c r="A303" s="114"/>
      <c r="B303" s="114"/>
      <c r="C303" s="115"/>
      <c r="D303" s="115"/>
      <c r="E303" s="115"/>
      <c r="F303" s="116"/>
      <c r="G303" s="116"/>
    </row>
    <row r="304" spans="1:7">
      <c r="A304" s="114"/>
      <c r="B304" s="114"/>
      <c r="C304" s="115"/>
      <c r="D304" s="115"/>
      <c r="E304" s="115"/>
      <c r="F304" s="116"/>
      <c r="G304" s="116"/>
    </row>
    <row r="305" spans="1:7">
      <c r="A305" s="114"/>
      <c r="B305" s="114"/>
      <c r="C305" s="115"/>
      <c r="D305" s="115"/>
      <c r="E305" s="115"/>
      <c r="F305" s="116"/>
      <c r="G305" s="116"/>
    </row>
    <row r="306" spans="1:7">
      <c r="A306" s="114"/>
      <c r="B306" s="114"/>
      <c r="C306" s="115"/>
      <c r="D306" s="115"/>
      <c r="E306" s="115"/>
      <c r="F306" s="116"/>
      <c r="G306" s="116"/>
    </row>
    <row r="307" spans="1:7">
      <c r="A307" s="114"/>
      <c r="B307" s="114"/>
      <c r="C307" s="115"/>
      <c r="D307" s="115"/>
      <c r="E307" s="115"/>
      <c r="F307" s="116"/>
      <c r="G307" s="116"/>
    </row>
    <row r="308" spans="1:7">
      <c r="A308" s="114"/>
      <c r="B308" s="114"/>
      <c r="C308" s="115"/>
      <c r="D308" s="115"/>
      <c r="E308" s="115"/>
      <c r="F308" s="116"/>
      <c r="G308" s="116"/>
    </row>
    <row r="309" spans="1:7">
      <c r="A309" s="114"/>
      <c r="B309" s="114"/>
      <c r="C309" s="115"/>
      <c r="D309" s="115"/>
      <c r="E309" s="115"/>
      <c r="F309" s="116"/>
      <c r="G309" s="116"/>
    </row>
    <row r="310" spans="1:7">
      <c r="A310" s="114"/>
      <c r="B310" s="114"/>
      <c r="C310" s="115"/>
      <c r="D310" s="115"/>
      <c r="E310" s="115"/>
      <c r="F310" s="116"/>
      <c r="G310" s="116"/>
    </row>
    <row r="311" spans="1:7">
      <c r="A311" s="114"/>
      <c r="B311" s="114"/>
      <c r="C311" s="115"/>
      <c r="D311" s="115"/>
      <c r="E311" s="115"/>
      <c r="F311" s="116"/>
      <c r="G311" s="116"/>
    </row>
    <row r="312" spans="1:7">
      <c r="A312" s="114"/>
      <c r="B312" s="114"/>
      <c r="C312" s="115"/>
      <c r="D312" s="115"/>
      <c r="E312" s="115"/>
      <c r="F312" s="116"/>
      <c r="G312" s="116"/>
    </row>
    <row r="313" spans="1:7">
      <c r="A313" s="114"/>
      <c r="B313" s="114"/>
      <c r="C313" s="115"/>
      <c r="D313" s="115"/>
      <c r="E313" s="115"/>
      <c r="F313" s="116"/>
      <c r="G313" s="116"/>
    </row>
    <row r="314" spans="1:7">
      <c r="A314" s="114"/>
      <c r="B314" s="114"/>
      <c r="C314" s="115"/>
      <c r="D314" s="115"/>
      <c r="E314" s="115"/>
      <c r="F314" s="116"/>
      <c r="G314" s="116"/>
    </row>
    <row r="315" spans="1:7">
      <c r="A315" s="114"/>
      <c r="B315" s="114"/>
      <c r="C315" s="115"/>
      <c r="D315" s="115"/>
      <c r="E315" s="115"/>
      <c r="F315" s="116"/>
      <c r="G315" s="116"/>
    </row>
    <row r="316" spans="1:7">
      <c r="A316" s="114"/>
      <c r="B316" s="114"/>
      <c r="C316" s="115"/>
      <c r="D316" s="115"/>
      <c r="E316" s="115"/>
      <c r="F316" s="116"/>
      <c r="G316" s="116"/>
    </row>
    <row r="317" spans="1:7">
      <c r="A317" s="114"/>
      <c r="B317" s="114"/>
      <c r="C317" s="115"/>
      <c r="D317" s="115"/>
      <c r="E317" s="115"/>
      <c r="F317" s="116"/>
      <c r="G317" s="116"/>
    </row>
    <row r="318" spans="1:7">
      <c r="A318" s="114"/>
      <c r="B318" s="114"/>
      <c r="C318" s="115"/>
      <c r="D318" s="115"/>
      <c r="E318" s="115"/>
      <c r="F318" s="116"/>
      <c r="G318" s="116"/>
    </row>
    <row r="319" spans="1:7">
      <c r="A319" s="114"/>
      <c r="B319" s="114"/>
      <c r="C319" s="115"/>
      <c r="D319" s="115"/>
      <c r="E319" s="115"/>
      <c r="F319" s="116"/>
      <c r="G319" s="116"/>
    </row>
    <row r="320" spans="1:7">
      <c r="A320" s="114"/>
      <c r="B320" s="114"/>
      <c r="C320" s="115"/>
      <c r="D320" s="115"/>
      <c r="E320" s="115"/>
      <c r="F320" s="116"/>
      <c r="G320" s="116"/>
    </row>
    <row r="321" spans="1:7">
      <c r="A321" s="114"/>
      <c r="B321" s="114"/>
      <c r="C321" s="115"/>
      <c r="D321" s="115"/>
      <c r="E321" s="115"/>
      <c r="F321" s="116"/>
      <c r="G321" s="116"/>
    </row>
    <row r="322" spans="1:7">
      <c r="A322" s="114"/>
      <c r="B322" s="114"/>
      <c r="C322" s="115"/>
      <c r="D322" s="115"/>
      <c r="E322" s="115"/>
      <c r="F322" s="116"/>
      <c r="G322" s="116"/>
    </row>
    <row r="323" spans="1:7">
      <c r="A323" s="114"/>
      <c r="B323" s="114"/>
      <c r="C323" s="115"/>
      <c r="D323" s="115"/>
      <c r="E323" s="115"/>
      <c r="F323" s="116"/>
      <c r="G323" s="116"/>
    </row>
    <row r="324" spans="1:7">
      <c r="A324" s="114"/>
      <c r="B324" s="114"/>
      <c r="C324" s="115"/>
      <c r="D324" s="115"/>
      <c r="E324" s="115"/>
      <c r="F324" s="116"/>
      <c r="G324" s="116"/>
    </row>
    <row r="325" spans="1:7">
      <c r="A325" s="114"/>
      <c r="B325" s="114"/>
      <c r="C325" s="115"/>
      <c r="D325" s="115"/>
      <c r="E325" s="115"/>
      <c r="F325" s="116"/>
      <c r="G325" s="116"/>
    </row>
    <row r="326" spans="1:7">
      <c r="A326" s="114"/>
      <c r="B326" s="114"/>
      <c r="C326" s="115"/>
      <c r="D326" s="115"/>
      <c r="E326" s="115"/>
      <c r="F326" s="116"/>
      <c r="G326" s="116"/>
    </row>
    <row r="327" spans="1:7">
      <c r="A327" s="114"/>
      <c r="B327" s="114"/>
      <c r="C327" s="115"/>
      <c r="D327" s="115"/>
      <c r="E327" s="115"/>
      <c r="F327" s="116"/>
      <c r="G327" s="116"/>
    </row>
    <row r="328" spans="1:7">
      <c r="A328" s="114"/>
      <c r="B328" s="114"/>
      <c r="C328" s="115"/>
      <c r="D328" s="115"/>
      <c r="E328" s="115"/>
      <c r="F328" s="116"/>
      <c r="G328" s="116"/>
    </row>
    <row r="329" spans="1:7">
      <c r="C329" s="92"/>
      <c r="D329" s="92"/>
      <c r="E329" s="92"/>
      <c r="F329" s="92"/>
      <c r="G329" s="92"/>
    </row>
    <row r="330" spans="1:7" ht="13.5" thickBot="1">
      <c r="A330" s="93" t="s">
        <v>161</v>
      </c>
      <c r="B330" s="94"/>
      <c r="C330" s="95" t="e">
        <f>#REF!/#REF!</f>
        <v>#REF!</v>
      </c>
      <c r="D330" s="95" t="e">
        <f>#REF!/#REF!</f>
        <v>#REF!</v>
      </c>
      <c r="E330" s="95" t="e">
        <f>#REF!/#REF!</f>
        <v>#REF!</v>
      </c>
      <c r="F330" s="95" t="e">
        <f>#REF!/#REF!</f>
        <v>#REF!</v>
      </c>
      <c r="G330" s="95" t="e">
        <f>#REF!/#REF!</f>
        <v>#REF!</v>
      </c>
    </row>
    <row r="331" spans="1:7" ht="13.5" thickTop="1"/>
  </sheetData>
  <customSheetViews>
    <customSheetView guid="{20A63875-964B-11D5-AAED-0004762A99E9}" fitToPage="1" showRuler="0" topLeftCell="A3">
      <selection activeCell="A4" sqref="A4"/>
      <pageMargins left="0.75" right="0.75" top="1" bottom="1" header="0.5" footer="0.5"/>
      <printOptions horizontalCentered="1"/>
      <pageSetup scale="74" orientation="landscape" horizontalDpi="0" r:id="rId1"/>
      <headerFooter alignWithMargins="0">
        <oddFooter>&amp;L&amp;D&amp;C&amp;A&amp;R&amp;F</oddFooter>
      </headerFooter>
    </customSheetView>
  </customSheetViews>
  <mergeCells count="2">
    <mergeCell ref="A1:G1"/>
    <mergeCell ref="A2:G2"/>
  </mergeCells>
  <phoneticPr fontId="0" type="noConversion"/>
  <printOptions horizontalCentered="1"/>
  <pageMargins left="0.5" right="0.5" top="0.5" bottom="0.65" header="0.4" footer="0.2"/>
  <pageSetup scale="13" orientation="landscape" r:id="rId2"/>
  <headerFooter alignWithMargins="0">
    <oddFooter>&amp;LExhibit RMP_____(CCP-3)&amp;R&amp;F&amp;CTab 3 - Page 13 of 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9" enableFormatConditionsCalculation="0">
    <pageSetUpPr fitToPage="1"/>
  </sheetPr>
  <dimension ref="A1:J56"/>
  <sheetViews>
    <sheetView defaultGridColor="0" colorId="22" zoomScale="90" workbookViewId="0">
      <selection activeCell="A34" sqref="A34"/>
    </sheetView>
  </sheetViews>
  <sheetFormatPr defaultColWidth="12.5703125" defaultRowHeight="12.75"/>
  <cols>
    <col min="1" max="1" width="26.7109375" style="17" customWidth="1"/>
    <col min="2" max="2" width="10" style="17" customWidth="1"/>
    <col min="3" max="3" width="8.7109375" style="17" customWidth="1"/>
    <col min="4" max="9" width="15.7109375" style="17" customWidth="1"/>
    <col min="10" max="10" width="12.5703125" style="17"/>
    <col min="11" max="11" width="15.42578125" style="17" customWidth="1"/>
    <col min="12" max="16384" width="12.5703125" style="17"/>
  </cols>
  <sheetData>
    <row r="1" spans="1:10">
      <c r="A1" s="49"/>
      <c r="B1" s="50"/>
      <c r="C1" s="50"/>
      <c r="D1" s="50"/>
      <c r="E1" s="50"/>
      <c r="F1" s="50"/>
      <c r="G1" s="50"/>
      <c r="H1" s="51"/>
      <c r="I1" s="51"/>
    </row>
    <row r="2" spans="1:10">
      <c r="A2" s="52" t="str">
        <f>+'TOTAL FUNCFAC'!A2</f>
        <v>12 Months Ended June 2013</v>
      </c>
      <c r="B2" s="50"/>
      <c r="C2" s="50"/>
      <c r="D2" s="50"/>
      <c r="E2" s="50"/>
      <c r="F2" s="50"/>
      <c r="G2" s="50"/>
      <c r="H2" s="51"/>
      <c r="I2" s="51"/>
    </row>
    <row r="3" spans="1:10">
      <c r="A3" s="52" t="s">
        <v>228</v>
      </c>
      <c r="B3" s="50"/>
      <c r="C3" s="50"/>
      <c r="D3" s="50"/>
      <c r="E3" s="50"/>
      <c r="F3" s="50"/>
      <c r="G3" s="50"/>
      <c r="H3" s="51"/>
      <c r="I3" s="51"/>
    </row>
    <row r="4" spans="1:10">
      <c r="A4" s="112" t="s">
        <v>237</v>
      </c>
      <c r="B4" s="113"/>
      <c r="C4" s="50"/>
      <c r="D4" s="50"/>
      <c r="E4" s="50"/>
      <c r="F4" s="50"/>
      <c r="G4" s="50"/>
      <c r="H4" s="51"/>
      <c r="I4" s="51"/>
    </row>
    <row r="5" spans="1:10">
      <c r="A5" s="107"/>
      <c r="B5" s="101"/>
      <c r="D5" s="53"/>
    </row>
    <row r="6" spans="1:10">
      <c r="B6" s="54" t="s">
        <v>115</v>
      </c>
    </row>
    <row r="7" spans="1:10">
      <c r="A7" s="55" t="s">
        <v>91</v>
      </c>
      <c r="B7" s="55" t="s">
        <v>75</v>
      </c>
      <c r="C7" s="55" t="s">
        <v>116</v>
      </c>
      <c r="D7" s="55" t="s">
        <v>77</v>
      </c>
      <c r="E7" s="55" t="s">
        <v>60</v>
      </c>
      <c r="F7" s="55" t="s">
        <v>117</v>
      </c>
      <c r="G7" s="55" t="s">
        <v>66</v>
      </c>
      <c r="H7" s="56" t="s">
        <v>109</v>
      </c>
      <c r="I7" s="56" t="s">
        <v>118</v>
      </c>
      <c r="J7" s="107"/>
    </row>
    <row r="8" spans="1:10">
      <c r="A8" s="57"/>
      <c r="B8" s="58"/>
      <c r="C8" s="58"/>
      <c r="D8" s="58"/>
      <c r="E8" s="58"/>
      <c r="F8" s="58"/>
      <c r="G8" s="58"/>
      <c r="H8" s="59"/>
      <c r="I8" s="60"/>
      <c r="J8" s="195"/>
    </row>
    <row r="9" spans="1:10">
      <c r="A9" s="61" t="s">
        <v>128</v>
      </c>
      <c r="B9" s="62"/>
      <c r="C9" s="62" t="s">
        <v>64</v>
      </c>
      <c r="D9" s="231">
        <v>11774809.0060011</v>
      </c>
      <c r="E9" s="88">
        <f>$D9*VLOOKUP(+$C9,$C$46:$I$52,3)</f>
        <v>11774809.0060011</v>
      </c>
      <c r="F9" s="88">
        <f>$D9*VLOOKUP(+$C9,$C$46:$I$52,4)</f>
        <v>0</v>
      </c>
      <c r="G9" s="88">
        <f>$D9*VLOOKUP(+$C9,$C$46:$I$52,5)</f>
        <v>0</v>
      </c>
      <c r="H9" s="88">
        <f>$D9*VLOOKUP(+$C9,$C$46:$I$52,6)</f>
        <v>0</v>
      </c>
      <c r="I9" s="88">
        <f>$D9*VLOOKUP(+$C9,$C$46:$I$52,7)</f>
        <v>0</v>
      </c>
      <c r="J9" s="195"/>
    </row>
    <row r="10" spans="1:10">
      <c r="A10" s="61" t="s">
        <v>129</v>
      </c>
      <c r="B10" s="62"/>
      <c r="C10" s="62" t="s">
        <v>65</v>
      </c>
      <c r="D10" s="231">
        <v>5423294.05268024</v>
      </c>
      <c r="E10" s="88">
        <f>$D10*VLOOKUP(+$C10,$C$46:$I$52,3)</f>
        <v>0</v>
      </c>
      <c r="F10" s="88">
        <f>$D10*VLOOKUP(+$C10,$C$46:$I$52,4)</f>
        <v>5423294.05268024</v>
      </c>
      <c r="G10" s="88">
        <f>$D10*VLOOKUP(+$C10,$C$46:$I$52,5)</f>
        <v>0</v>
      </c>
      <c r="H10" s="88">
        <f>$D10*VLOOKUP(+$C10,$C$46:$I$52,6)</f>
        <v>0</v>
      </c>
      <c r="I10" s="88">
        <f>$D10*VLOOKUP(+$C10,$C$46:$I$52,7)</f>
        <v>0</v>
      </c>
      <c r="J10" s="196"/>
    </row>
    <row r="11" spans="1:10">
      <c r="A11" s="61" t="s">
        <v>130</v>
      </c>
      <c r="B11" s="62"/>
      <c r="C11" s="62" t="s">
        <v>66</v>
      </c>
      <c r="D11" s="231">
        <v>6135503.5817559697</v>
      </c>
      <c r="E11" s="88">
        <f>$D11*VLOOKUP(+$C11,$C$46:$I$52,3)</f>
        <v>0</v>
      </c>
      <c r="F11" s="88">
        <f>$D11*VLOOKUP(+$C11,$C$46:$I$52,4)</f>
        <v>0</v>
      </c>
      <c r="G11" s="88">
        <f>$D11*VLOOKUP(+$C11,$C$46:$I$52,5)</f>
        <v>6135503.5817559697</v>
      </c>
      <c r="H11" s="88">
        <f>$D11*VLOOKUP(+$C11,$C$46:$I$52,6)</f>
        <v>0</v>
      </c>
      <c r="I11" s="88">
        <f>$D11*VLOOKUP(+$C11,$C$46:$I$52,7)</f>
        <v>0</v>
      </c>
    </row>
    <row r="12" spans="1:10">
      <c r="A12" s="61" t="s">
        <v>131</v>
      </c>
      <c r="B12" s="163" t="s">
        <v>81</v>
      </c>
      <c r="C12" s="62" t="s">
        <v>64</v>
      </c>
      <c r="D12" s="231">
        <v>497190.28672770498</v>
      </c>
      <c r="E12" s="88">
        <f>$D12*VLOOKUP(+$C12,$C$46:$I$52,3)</f>
        <v>497190.28672770498</v>
      </c>
      <c r="F12" s="88">
        <f>$D12*VLOOKUP(+$C12,$C$46:$I$52,4)</f>
        <v>0</v>
      </c>
      <c r="G12" s="88">
        <f>$D12*VLOOKUP(+$C12,$C$46:$I$52,5)</f>
        <v>0</v>
      </c>
      <c r="H12" s="88">
        <f>$D12*VLOOKUP(+$C12,$C$46:$I$52,6)</f>
        <v>0</v>
      </c>
      <c r="I12" s="88">
        <f>$D12*VLOOKUP(+$C12,$C$46:$I$52,7)</f>
        <v>0</v>
      </c>
    </row>
    <row r="13" spans="1:10">
      <c r="A13" s="64" t="s">
        <v>121</v>
      </c>
      <c r="B13" s="65"/>
      <c r="C13" s="65"/>
      <c r="D13" s="86"/>
      <c r="E13" s="86"/>
      <c r="F13" s="86"/>
      <c r="G13" s="86"/>
      <c r="H13" s="86"/>
      <c r="I13" s="11"/>
    </row>
    <row r="14" spans="1:10">
      <c r="A14" s="146" t="s">
        <v>119</v>
      </c>
      <c r="B14" s="149" t="str">
        <f>'GENERAL PLANT'!B7</f>
        <v>CN</v>
      </c>
      <c r="C14" s="149" t="str">
        <f>'GENERAL PLANT'!C7</f>
        <v>CUST</v>
      </c>
      <c r="D14" s="88">
        <f>'GENERAL PLANT'!D7</f>
        <v>24459.392829230725</v>
      </c>
      <c r="E14" s="88">
        <f t="shared" ref="E14:E24" si="0">$D14*VLOOKUP(+$C14,$C$46:$I$52,3)</f>
        <v>0</v>
      </c>
      <c r="F14" s="88">
        <f t="shared" ref="F14:F24" si="1">$D14*VLOOKUP(+$C14,$C$46:$I$52,4)</f>
        <v>0</v>
      </c>
      <c r="G14" s="88">
        <f t="shared" ref="G14:G24" si="2">$D14*VLOOKUP(+$C14,$C$46:$I$52,5)</f>
        <v>0</v>
      </c>
      <c r="H14" s="88">
        <f t="shared" ref="H14:H24" si="3">$D14*VLOOKUP(+$C14,$C$46:$I$52,6)</f>
        <v>24459.392829230725</v>
      </c>
      <c r="I14" s="88">
        <f t="shared" ref="I14:I24" si="4">$D14*VLOOKUP(+$C14,$C$46:$I$52,7)</f>
        <v>0</v>
      </c>
    </row>
    <row r="15" spans="1:10">
      <c r="A15" s="146" t="s">
        <v>120</v>
      </c>
      <c r="B15" s="149" t="str">
        <f>'GENERAL PLANT'!B8</f>
        <v>SE</v>
      </c>
      <c r="C15" s="149" t="str">
        <f>'GENERAL PLANT'!C8</f>
        <v>P</v>
      </c>
      <c r="D15" s="88">
        <f>'GENERAL PLANT'!D8</f>
        <v>789.14308999999867</v>
      </c>
      <c r="E15" s="88">
        <f t="shared" si="0"/>
        <v>789.14308999999867</v>
      </c>
      <c r="F15" s="88">
        <f t="shared" si="1"/>
        <v>0</v>
      </c>
      <c r="G15" s="88">
        <f t="shared" si="2"/>
        <v>0</v>
      </c>
      <c r="H15" s="88">
        <f t="shared" si="3"/>
        <v>0</v>
      </c>
      <c r="I15" s="90">
        <f t="shared" si="4"/>
        <v>0</v>
      </c>
    </row>
    <row r="16" spans="1:10">
      <c r="A16" s="146"/>
      <c r="B16" s="149" t="str">
        <f>'GENERAL PLANT'!B9</f>
        <v>SG</v>
      </c>
      <c r="C16" s="149" t="str">
        <f>'GENERAL PLANT'!C9</f>
        <v>P</v>
      </c>
      <c r="D16" s="88">
        <f>'GENERAL PLANT'!D9</f>
        <v>114337.63360846155</v>
      </c>
      <c r="E16" s="88">
        <f t="shared" si="0"/>
        <v>114337.63360846155</v>
      </c>
      <c r="F16" s="88">
        <f t="shared" si="1"/>
        <v>0</v>
      </c>
      <c r="G16" s="88">
        <f t="shared" si="2"/>
        <v>0</v>
      </c>
      <c r="H16" s="88">
        <f t="shared" si="3"/>
        <v>0</v>
      </c>
      <c r="I16" s="90">
        <f t="shared" si="4"/>
        <v>0</v>
      </c>
    </row>
    <row r="17" spans="1:9">
      <c r="A17" s="146"/>
      <c r="B17" s="149" t="str">
        <f>'GENERAL PLANT'!B10</f>
        <v>SG</v>
      </c>
      <c r="C17" s="149" t="str">
        <f>'GENERAL PLANT'!C10</f>
        <v>T</v>
      </c>
      <c r="D17" s="88">
        <f>'GENERAL PLANT'!D10</f>
        <v>118932.14598384</v>
      </c>
      <c r="E17" s="88">
        <f t="shared" si="0"/>
        <v>0</v>
      </c>
      <c r="F17" s="88">
        <f t="shared" si="1"/>
        <v>118932.14598384</v>
      </c>
      <c r="G17" s="88">
        <f t="shared" si="2"/>
        <v>0</v>
      </c>
      <c r="H17" s="88">
        <f t="shared" si="3"/>
        <v>0</v>
      </c>
      <c r="I17" s="90">
        <f t="shared" si="4"/>
        <v>0</v>
      </c>
    </row>
    <row r="18" spans="1:9">
      <c r="A18" s="146"/>
      <c r="B18" s="149" t="str">
        <f>'GENERAL PLANT'!B12</f>
        <v>SO</v>
      </c>
      <c r="C18" s="149" t="str">
        <f>'GENERAL PLANT'!C12</f>
        <v>DPW</v>
      </c>
      <c r="D18" s="88">
        <f>'GENERAL PLANT'!D12</f>
        <v>0</v>
      </c>
      <c r="E18" s="88">
        <f t="shared" si="0"/>
        <v>0</v>
      </c>
      <c r="F18" s="88">
        <f t="shared" si="1"/>
        <v>0</v>
      </c>
      <c r="G18" s="88">
        <f t="shared" si="2"/>
        <v>0</v>
      </c>
      <c r="H18" s="88">
        <f t="shared" si="3"/>
        <v>0</v>
      </c>
      <c r="I18" s="90">
        <f t="shared" si="4"/>
        <v>0</v>
      </c>
    </row>
    <row r="19" spans="1:9">
      <c r="A19" s="146"/>
      <c r="B19" s="149" t="str">
        <f>'GENERAL PLANT'!B16</f>
        <v>SG</v>
      </c>
      <c r="C19" s="149" t="str">
        <f>'GENERAL PLANT'!C16</f>
        <v>P</v>
      </c>
      <c r="D19" s="88">
        <f>'GENERAL PLANT'!D16</f>
        <v>0</v>
      </c>
      <c r="E19" s="88">
        <f t="shared" si="0"/>
        <v>0</v>
      </c>
      <c r="F19" s="88">
        <f t="shared" si="1"/>
        <v>0</v>
      </c>
      <c r="G19" s="88">
        <f t="shared" si="2"/>
        <v>0</v>
      </c>
      <c r="H19" s="88">
        <f t="shared" si="3"/>
        <v>0</v>
      </c>
      <c r="I19" s="90">
        <f t="shared" si="4"/>
        <v>0</v>
      </c>
    </row>
    <row r="20" spans="1:9">
      <c r="A20" s="146"/>
      <c r="B20" s="149" t="str">
        <f>'GENERAL PLANT'!B17</f>
        <v>SG</v>
      </c>
      <c r="C20" s="149" t="str">
        <f>'GENERAL PLANT'!C17</f>
        <v>DPW</v>
      </c>
      <c r="D20" s="88">
        <f>'GENERAL PLANT'!D17</f>
        <v>0</v>
      </c>
      <c r="E20" s="88">
        <f t="shared" si="0"/>
        <v>0</v>
      </c>
      <c r="F20" s="88">
        <f t="shared" si="1"/>
        <v>0</v>
      </c>
      <c r="G20" s="88">
        <f t="shared" si="2"/>
        <v>0</v>
      </c>
      <c r="H20" s="88">
        <f t="shared" si="3"/>
        <v>0</v>
      </c>
      <c r="I20" s="90">
        <f t="shared" si="4"/>
        <v>0</v>
      </c>
    </row>
    <row r="21" spans="1:9">
      <c r="A21" s="146"/>
      <c r="B21" s="149" t="str">
        <f>'GENERAL PLANT'!B18</f>
        <v>SG</v>
      </c>
      <c r="C21" s="149" t="str">
        <f>'GENERAL PLANT'!C18</f>
        <v>P</v>
      </c>
      <c r="D21" s="88">
        <f>'GENERAL PLANT'!D18</f>
        <v>0</v>
      </c>
      <c r="E21" s="88">
        <f t="shared" si="0"/>
        <v>0</v>
      </c>
      <c r="F21" s="88">
        <f t="shared" si="1"/>
        <v>0</v>
      </c>
      <c r="G21" s="88">
        <f t="shared" si="2"/>
        <v>0</v>
      </c>
      <c r="H21" s="88">
        <f t="shared" si="3"/>
        <v>0</v>
      </c>
      <c r="I21" s="90">
        <f t="shared" si="4"/>
        <v>0</v>
      </c>
    </row>
    <row r="22" spans="1:9">
      <c r="A22" s="146" t="s">
        <v>121</v>
      </c>
      <c r="B22" s="149" t="str">
        <f>'GENERAL PLANT'!B19</f>
        <v>SITUS</v>
      </c>
      <c r="C22" s="149" t="str">
        <f>'GENERAL PLANT'!C19</f>
        <v>DPW</v>
      </c>
      <c r="D22" s="88">
        <f>'GENERAL PLANT'!D19</f>
        <v>214154.82839923049</v>
      </c>
      <c r="E22" s="88">
        <f t="shared" si="0"/>
        <v>0</v>
      </c>
      <c r="F22" s="88">
        <f t="shared" si="1"/>
        <v>0</v>
      </c>
      <c r="G22" s="88">
        <f t="shared" si="2"/>
        <v>214154.82839923049</v>
      </c>
      <c r="H22" s="88">
        <f t="shared" si="3"/>
        <v>0</v>
      </c>
      <c r="I22" s="90">
        <f t="shared" si="4"/>
        <v>0</v>
      </c>
    </row>
    <row r="23" spans="1:9">
      <c r="A23" s="146" t="s">
        <v>121</v>
      </c>
      <c r="B23" s="149" t="str">
        <f>'GENERAL PLANT'!B20</f>
        <v>SITUS</v>
      </c>
      <c r="C23" s="149" t="str">
        <f>'GENERAL PLANT'!C20</f>
        <v>P</v>
      </c>
      <c r="D23" s="88">
        <f>'GENERAL PLANT'!D20</f>
        <v>0</v>
      </c>
      <c r="E23" s="88">
        <f t="shared" si="0"/>
        <v>0</v>
      </c>
      <c r="F23" s="88">
        <f t="shared" si="1"/>
        <v>0</v>
      </c>
      <c r="G23" s="88">
        <f t="shared" si="2"/>
        <v>0</v>
      </c>
      <c r="H23" s="88">
        <f t="shared" si="3"/>
        <v>0</v>
      </c>
      <c r="I23" s="90">
        <f t="shared" si="4"/>
        <v>0</v>
      </c>
    </row>
    <row r="24" spans="1:9">
      <c r="A24" s="146" t="s">
        <v>121</v>
      </c>
      <c r="B24" s="149" t="str">
        <f>'GENERAL PLANT'!B21</f>
        <v>SITUS</v>
      </c>
      <c r="C24" s="149" t="str">
        <f>'GENERAL PLANT'!C21</f>
        <v>TD</v>
      </c>
      <c r="D24" s="88">
        <f>'GENERAL PLANT'!D21</f>
        <v>331824.31509999937</v>
      </c>
      <c r="E24" s="88">
        <f t="shared" si="0"/>
        <v>0</v>
      </c>
      <c r="F24" s="88">
        <f t="shared" si="1"/>
        <v>155689.27595506751</v>
      </c>
      <c r="G24" s="88">
        <f t="shared" si="2"/>
        <v>176135.03914493188</v>
      </c>
      <c r="H24" s="88">
        <f t="shared" si="3"/>
        <v>0</v>
      </c>
      <c r="I24" s="90">
        <f t="shared" si="4"/>
        <v>0</v>
      </c>
    </row>
    <row r="25" spans="1:9">
      <c r="A25" s="64" t="s">
        <v>123</v>
      </c>
      <c r="D25" s="87">
        <f t="shared" ref="D25:I25" si="5">SUBTOTAL(9,D14:D24)</f>
        <v>804497.45901076216</v>
      </c>
      <c r="E25" s="87">
        <f t="shared" si="5"/>
        <v>115126.77669846154</v>
      </c>
      <c r="F25" s="87">
        <f t="shared" si="5"/>
        <v>274621.42193890753</v>
      </c>
      <c r="G25" s="87">
        <f t="shared" si="5"/>
        <v>390289.86754416238</v>
      </c>
      <c r="H25" s="87">
        <f t="shared" si="5"/>
        <v>24459.392829230725</v>
      </c>
      <c r="I25" s="87">
        <f t="shared" si="5"/>
        <v>0</v>
      </c>
    </row>
    <row r="26" spans="1:9">
      <c r="A26" s="64"/>
      <c r="B26" s="64"/>
      <c r="C26" s="64"/>
      <c r="D26" s="88"/>
      <c r="E26" s="88"/>
      <c r="F26" s="88"/>
      <c r="G26" s="88"/>
      <c r="H26" s="88"/>
    </row>
    <row r="27" spans="1:9">
      <c r="A27" s="64" t="s">
        <v>132</v>
      </c>
      <c r="B27" s="64"/>
      <c r="C27" s="64"/>
      <c r="D27" s="88"/>
      <c r="E27" s="88"/>
      <c r="F27" s="88"/>
      <c r="G27" s="88"/>
      <c r="H27" s="88"/>
    </row>
    <row r="28" spans="1:9">
      <c r="A28" s="61" t="s">
        <v>133</v>
      </c>
      <c r="B28" s="63" t="str">
        <f>'INTANGIBLE PLANT'!A7</f>
        <v>CN</v>
      </c>
      <c r="C28" s="63" t="str">
        <f>'INTANGIBLE PLANT'!B7</f>
        <v>CUST</v>
      </c>
      <c r="D28" s="88">
        <f>'INTANGIBLE PLANT'!C7</f>
        <v>123138.75751846058</v>
      </c>
      <c r="E28" s="88">
        <f t="shared" ref="E28:E38" si="6">$D28*VLOOKUP(+$C28,$C$46:$I$53,3)</f>
        <v>0</v>
      </c>
      <c r="F28" s="88">
        <f t="shared" ref="F28:F38" si="7">$D28*VLOOKUP(+$C28,$C$46:$I$53,4)</f>
        <v>0</v>
      </c>
      <c r="G28" s="88">
        <f t="shared" ref="G28:G38" si="8">$D28*VLOOKUP(+$C28,$C$46:$I$53,5)</f>
        <v>0</v>
      </c>
      <c r="H28" s="88">
        <f t="shared" ref="H28:H38" si="9">$D28*VLOOKUP(+$C28,$C$46:$I$53,6)</f>
        <v>123138.75751846058</v>
      </c>
      <c r="I28" s="90">
        <f t="shared" ref="I28:I38" si="10">$D28*VLOOKUP(+$C28,$C$46:$I$53,7)</f>
        <v>0</v>
      </c>
    </row>
    <row r="29" spans="1:9">
      <c r="A29" s="61" t="s">
        <v>133</v>
      </c>
      <c r="B29" s="63" t="str">
        <f>'INTANGIBLE PLANT'!A8</f>
        <v>SE</v>
      </c>
      <c r="C29" s="63" t="str">
        <f>'INTANGIBLE PLANT'!B8</f>
        <v>P</v>
      </c>
      <c r="D29" s="88">
        <f>'INTANGIBLE PLANT'!C8</f>
        <v>3673.1403361538428</v>
      </c>
      <c r="E29" s="88">
        <f t="shared" si="6"/>
        <v>3673.1403361538428</v>
      </c>
      <c r="F29" s="88">
        <f t="shared" si="7"/>
        <v>0</v>
      </c>
      <c r="G29" s="88">
        <f t="shared" si="8"/>
        <v>0</v>
      </c>
      <c r="H29" s="88">
        <f t="shared" si="9"/>
        <v>0</v>
      </c>
      <c r="I29" s="90">
        <f t="shared" si="10"/>
        <v>0</v>
      </c>
    </row>
    <row r="30" spans="1:9">
      <c r="A30" s="64" t="s">
        <v>134</v>
      </c>
      <c r="B30" s="63" t="str">
        <f>'INTANGIBLE PLANT'!A9</f>
        <v>SG</v>
      </c>
      <c r="C30" s="63" t="str">
        <f>'INTANGIBLE PLANT'!B9</f>
        <v>P</v>
      </c>
      <c r="D30" s="88">
        <f>'INTANGIBLE PLANT'!C9</f>
        <v>107473.73700307707</v>
      </c>
      <c r="E30" s="88">
        <f t="shared" si="6"/>
        <v>107473.73700307707</v>
      </c>
      <c r="F30" s="88">
        <f t="shared" si="7"/>
        <v>0</v>
      </c>
      <c r="G30" s="88">
        <f t="shared" si="8"/>
        <v>0</v>
      </c>
      <c r="H30" s="88">
        <f t="shared" si="9"/>
        <v>0</v>
      </c>
      <c r="I30" s="90">
        <f t="shared" si="10"/>
        <v>0</v>
      </c>
    </row>
    <row r="31" spans="1:9">
      <c r="A31" s="64" t="s">
        <v>135</v>
      </c>
      <c r="B31" s="63" t="str">
        <f>'INTANGIBLE PLANT'!A10</f>
        <v>SG</v>
      </c>
      <c r="C31" s="63" t="str">
        <f>'INTANGIBLE PLANT'!B10</f>
        <v>T</v>
      </c>
      <c r="D31" s="88">
        <f>'INTANGIBLE PLANT'!C10</f>
        <v>46781.315221538251</v>
      </c>
      <c r="E31" s="88">
        <f t="shared" si="6"/>
        <v>0</v>
      </c>
      <c r="F31" s="88">
        <f t="shared" si="7"/>
        <v>46781.315221538251</v>
      </c>
      <c r="G31" s="88">
        <f t="shared" si="8"/>
        <v>0</v>
      </c>
      <c r="H31" s="88">
        <f t="shared" si="9"/>
        <v>0</v>
      </c>
      <c r="I31" s="90">
        <f t="shared" si="10"/>
        <v>0</v>
      </c>
    </row>
    <row r="32" spans="1:9">
      <c r="A32" s="64" t="s">
        <v>136</v>
      </c>
      <c r="B32" s="63" t="str">
        <f>'INTANGIBLE PLANT'!A11</f>
        <v>SG</v>
      </c>
      <c r="C32" s="63" t="str">
        <f>'INTANGIBLE PLANT'!B11</f>
        <v>P</v>
      </c>
      <c r="D32" s="88">
        <f>'INTANGIBLE PLANT'!C11</f>
        <v>151412.152150771</v>
      </c>
      <c r="E32" s="88">
        <f t="shared" si="6"/>
        <v>151412.152150771</v>
      </c>
      <c r="F32" s="88">
        <f t="shared" si="7"/>
        <v>0</v>
      </c>
      <c r="G32" s="88">
        <f t="shared" si="8"/>
        <v>0</v>
      </c>
      <c r="H32" s="88">
        <f t="shared" si="9"/>
        <v>0</v>
      </c>
      <c r="I32" s="90">
        <f t="shared" si="10"/>
        <v>0</v>
      </c>
    </row>
    <row r="33" spans="1:9">
      <c r="A33" s="64"/>
      <c r="B33" s="63" t="str">
        <f>'INTANGIBLE PLANT'!A12</f>
        <v>SG</v>
      </c>
      <c r="C33" s="63" t="str">
        <f>'INTANGIBLE PLANT'!B12</f>
        <v>P</v>
      </c>
      <c r="D33" s="88">
        <f>'INTANGIBLE PLANT'!C12</f>
        <v>9790.3560100000905</v>
      </c>
      <c r="E33" s="88">
        <f t="shared" si="6"/>
        <v>9790.3560100000905</v>
      </c>
      <c r="F33" s="88">
        <f t="shared" si="7"/>
        <v>0</v>
      </c>
      <c r="G33" s="88">
        <f t="shared" si="8"/>
        <v>0</v>
      </c>
      <c r="H33" s="88">
        <f t="shared" si="9"/>
        <v>0</v>
      </c>
      <c r="I33" s="90">
        <f t="shared" si="10"/>
        <v>0</v>
      </c>
    </row>
    <row r="34" spans="1:9">
      <c r="A34" s="64" t="s">
        <v>137</v>
      </c>
      <c r="B34" s="63" t="str">
        <f>'INTANGIBLE PLANT'!A15</f>
        <v>SO</v>
      </c>
      <c r="C34" s="63" t="str">
        <f>'INTANGIBLE PLANT'!B15</f>
        <v>P</v>
      </c>
      <c r="D34" s="88">
        <f>'INTANGIBLE PLANT'!C15</f>
        <v>27555.937561538398</v>
      </c>
      <c r="E34" s="88">
        <f t="shared" si="6"/>
        <v>27555.937561538398</v>
      </c>
      <c r="F34" s="88">
        <f t="shared" si="7"/>
        <v>0</v>
      </c>
      <c r="G34" s="88">
        <f t="shared" si="8"/>
        <v>0</v>
      </c>
      <c r="H34" s="88">
        <f t="shared" si="9"/>
        <v>0</v>
      </c>
      <c r="I34" s="90">
        <f t="shared" si="10"/>
        <v>0</v>
      </c>
    </row>
    <row r="35" spans="1:9">
      <c r="A35" s="64" t="s">
        <v>120</v>
      </c>
      <c r="B35" s="63" t="str">
        <f>'INTANGIBLE PLANT'!A16</f>
        <v>SO</v>
      </c>
      <c r="C35" s="63" t="str">
        <f>'INTANGIBLE PLANT'!B16</f>
        <v>PTD</v>
      </c>
      <c r="D35" s="88">
        <f>'INTANGIBLE PLANT'!C16</f>
        <v>298871.71313000139</v>
      </c>
      <c r="E35" s="88">
        <f t="shared" si="6"/>
        <v>150819.26226112823</v>
      </c>
      <c r="F35" s="88">
        <f t="shared" si="7"/>
        <v>69465.008530799241</v>
      </c>
      <c r="G35" s="88">
        <f t="shared" si="8"/>
        <v>78587.442338073932</v>
      </c>
      <c r="H35" s="88">
        <f t="shared" si="9"/>
        <v>0</v>
      </c>
      <c r="I35" s="90">
        <f t="shared" si="10"/>
        <v>0</v>
      </c>
    </row>
    <row r="36" spans="1:9">
      <c r="A36" s="64" t="s">
        <v>138</v>
      </c>
      <c r="B36" s="63" t="str">
        <f>'INTANGIBLE PLANT'!A17</f>
        <v>SO</v>
      </c>
      <c r="C36" s="63" t="str">
        <f>'INTANGIBLE PLANT'!B17</f>
        <v>TD</v>
      </c>
      <c r="D36" s="88">
        <f>'INTANGIBLE PLANT'!C17</f>
        <v>12740.982959999901</v>
      </c>
      <c r="E36" s="88">
        <f t="shared" si="6"/>
        <v>0</v>
      </c>
      <c r="F36" s="88">
        <f t="shared" si="7"/>
        <v>5977.9658142304752</v>
      </c>
      <c r="G36" s="88">
        <f t="shared" si="8"/>
        <v>6763.0171457694278</v>
      </c>
      <c r="H36" s="88">
        <f t="shared" si="9"/>
        <v>0</v>
      </c>
      <c r="I36" s="90">
        <f t="shared" si="10"/>
        <v>0</v>
      </c>
    </row>
    <row r="37" spans="1:9">
      <c r="A37" s="64" t="s">
        <v>139</v>
      </c>
      <c r="B37" s="63" t="str">
        <f>'INTANGIBLE PLANT'!A18</f>
        <v>SO</v>
      </c>
      <c r="C37" s="63" t="str">
        <f>'INTANGIBLE PLANT'!B18</f>
        <v>LABOR</v>
      </c>
      <c r="D37" s="88">
        <f>'INTANGIBLE PLANT'!C18</f>
        <v>0</v>
      </c>
      <c r="E37" s="88">
        <f t="shared" si="6"/>
        <v>0</v>
      </c>
      <c r="F37" s="88">
        <f t="shared" si="7"/>
        <v>0</v>
      </c>
      <c r="G37" s="88">
        <f t="shared" si="8"/>
        <v>0</v>
      </c>
      <c r="H37" s="88">
        <f t="shared" si="9"/>
        <v>0</v>
      </c>
      <c r="I37" s="90">
        <f t="shared" si="10"/>
        <v>0</v>
      </c>
    </row>
    <row r="38" spans="1:9">
      <c r="A38" s="64" t="s">
        <v>139</v>
      </c>
      <c r="B38" s="63" t="str">
        <f>'INTANGIBLE PLANT'!A23</f>
        <v>SITUS</v>
      </c>
      <c r="C38" s="63" t="str">
        <f>'INTANGIBLE PLANT'!B23</f>
        <v>TD</v>
      </c>
      <c r="D38" s="88">
        <f>'INTANGIBLE PLANT'!C23</f>
        <v>12241.300966153825</v>
      </c>
      <c r="E38" s="88">
        <f t="shared" si="6"/>
        <v>0</v>
      </c>
      <c r="F38" s="88">
        <f t="shared" si="7"/>
        <v>5743.5190775402016</v>
      </c>
      <c r="G38" s="88">
        <f t="shared" si="8"/>
        <v>6497.7818886136256</v>
      </c>
      <c r="H38" s="88">
        <f t="shared" si="9"/>
        <v>0</v>
      </c>
      <c r="I38" s="90">
        <f t="shared" si="10"/>
        <v>0</v>
      </c>
    </row>
    <row r="39" spans="1:9">
      <c r="A39" s="64" t="s">
        <v>140</v>
      </c>
      <c r="B39" s="64"/>
      <c r="C39" s="64"/>
      <c r="D39" s="87">
        <f t="shared" ref="D39:I39" si="11">SUBTOTAL(9,D28:D38)</f>
        <v>793679.39285769442</v>
      </c>
      <c r="E39" s="87">
        <f t="shared" si="11"/>
        <v>450724.58532266866</v>
      </c>
      <c r="F39" s="87">
        <f t="shared" si="11"/>
        <v>127967.80864410815</v>
      </c>
      <c r="G39" s="87">
        <f t="shared" si="11"/>
        <v>91848.241372456978</v>
      </c>
      <c r="H39" s="87">
        <f t="shared" si="11"/>
        <v>123138.75751846058</v>
      </c>
      <c r="I39" s="87">
        <f t="shared" si="11"/>
        <v>0</v>
      </c>
    </row>
    <row r="40" spans="1:9">
      <c r="A40" s="64"/>
      <c r="B40" s="64"/>
      <c r="C40" s="64"/>
      <c r="D40" s="88"/>
      <c r="E40" s="88"/>
      <c r="F40" s="88"/>
      <c r="G40" s="88"/>
      <c r="H40" s="88"/>
    </row>
    <row r="41" spans="1:9" ht="13.5" thickBot="1">
      <c r="A41" s="64" t="s">
        <v>141</v>
      </c>
      <c r="B41" s="64"/>
      <c r="C41" s="64"/>
      <c r="D41" s="89">
        <f t="shared" ref="D41:I41" si="12">SUBTOTAL(9,D8:D39)</f>
        <v>25428973.779033467</v>
      </c>
      <c r="E41" s="89">
        <f t="shared" si="12"/>
        <v>12837850.654749934</v>
      </c>
      <c r="F41" s="89">
        <f t="shared" si="12"/>
        <v>5825883.2832632558</v>
      </c>
      <c r="G41" s="89">
        <f t="shared" si="12"/>
        <v>6617641.6906725895</v>
      </c>
      <c r="H41" s="89">
        <f t="shared" si="12"/>
        <v>147598.15034769132</v>
      </c>
      <c r="I41" s="89">
        <f t="shared" si="12"/>
        <v>0</v>
      </c>
    </row>
    <row r="42" spans="1:9" ht="13.5" thickTop="1">
      <c r="D42" s="66"/>
    </row>
    <row r="43" spans="1:9">
      <c r="B43" s="232" t="s">
        <v>142</v>
      </c>
      <c r="C43" s="233"/>
      <c r="D43" s="234">
        <f>SUM(E43:I43)</f>
        <v>1</v>
      </c>
      <c r="E43" s="234">
        <f>E41/$D41</f>
        <v>0.50485130726490091</v>
      </c>
      <c r="F43" s="234">
        <f>F41/$D41</f>
        <v>0.2291041445041237</v>
      </c>
      <c r="G43" s="234">
        <f>G41/$D41</f>
        <v>0.2602402184286699</v>
      </c>
      <c r="H43" s="234">
        <f>H41/$D41</f>
        <v>5.8043298023055887E-3</v>
      </c>
      <c r="I43" s="235">
        <f>I41/$D41</f>
        <v>0</v>
      </c>
    </row>
    <row r="44" spans="1:9">
      <c r="A44" s="64"/>
      <c r="B44" s="64"/>
      <c r="C44" s="64"/>
      <c r="D44" s="67"/>
      <c r="E44" s="68"/>
      <c r="F44" s="68"/>
      <c r="G44" s="68"/>
      <c r="H44" s="68"/>
      <c r="I44" s="68"/>
    </row>
    <row r="45" spans="1:9">
      <c r="A45" s="71"/>
      <c r="D45" s="68"/>
      <c r="E45" s="68"/>
      <c r="F45" s="68"/>
      <c r="G45" s="68"/>
      <c r="H45" s="68"/>
      <c r="I45" s="68"/>
    </row>
    <row r="46" spans="1:9">
      <c r="A46" s="71"/>
      <c r="B46" s="64" t="s">
        <v>125</v>
      </c>
      <c r="C46" s="64"/>
      <c r="D46" s="68"/>
      <c r="E46" s="69" t="s">
        <v>126</v>
      </c>
      <c r="F46" s="69" t="s">
        <v>127</v>
      </c>
      <c r="G46" s="70" t="s">
        <v>66</v>
      </c>
      <c r="H46" s="70" t="s">
        <v>69</v>
      </c>
      <c r="I46" s="70" t="s">
        <v>118</v>
      </c>
    </row>
    <row r="47" spans="1:9">
      <c r="A47" s="71"/>
      <c r="C47" s="17" t="s">
        <v>64</v>
      </c>
      <c r="D47" s="33">
        <f>SUM(E47:F47)</f>
        <v>1</v>
      </c>
      <c r="E47" s="33">
        <f>'FORM 1'!$C$13</f>
        <v>1</v>
      </c>
      <c r="F47" s="33">
        <f>'FORM 1'!$D$13</f>
        <v>0</v>
      </c>
      <c r="G47" s="33">
        <f>'FORM 1'!$E$13</f>
        <v>0</v>
      </c>
      <c r="H47" s="33">
        <f>'FORM 1'!$F$13</f>
        <v>0</v>
      </c>
      <c r="I47" s="33">
        <f>'FORM 1'!$G$13</f>
        <v>0</v>
      </c>
    </row>
    <row r="48" spans="1:9">
      <c r="C48" s="17" t="s">
        <v>65</v>
      </c>
      <c r="D48" s="33">
        <f>SUM(E48:F48)</f>
        <v>1</v>
      </c>
      <c r="E48" s="33">
        <f>'FORM 1'!$C$14</f>
        <v>0</v>
      </c>
      <c r="F48" s="33">
        <f>'FORM 1'!$D$14</f>
        <v>1</v>
      </c>
      <c r="G48" s="33">
        <f>'FORM 1'!$E$14</f>
        <v>0</v>
      </c>
      <c r="H48" s="33">
        <f>'FORM 1'!$F$14</f>
        <v>0</v>
      </c>
      <c r="I48" s="33">
        <f>'FORM 1'!$G$14</f>
        <v>0</v>
      </c>
    </row>
    <row r="49" spans="1:9">
      <c r="C49" s="17" t="s">
        <v>92</v>
      </c>
      <c r="D49" s="33">
        <f>SUM(E49:I49)</f>
        <v>1</v>
      </c>
      <c r="E49" s="33">
        <f>'FORM 1'!$C$18</f>
        <v>0</v>
      </c>
      <c r="F49" s="33">
        <f>'FORM 1'!$D$18</f>
        <v>0.46919188519427402</v>
      </c>
      <c r="G49" s="33">
        <f>'FORM 1'!$E$18</f>
        <v>0.53080811480572609</v>
      </c>
      <c r="H49" s="33">
        <f>'FORM 1'!$F$18</f>
        <v>0</v>
      </c>
      <c r="I49" s="33">
        <f>'FORM 1'!$G$18</f>
        <v>0</v>
      </c>
    </row>
    <row r="50" spans="1:9">
      <c r="C50" s="17" t="s">
        <v>69</v>
      </c>
      <c r="D50" s="33">
        <f>SUM(E50:I50)</f>
        <v>1</v>
      </c>
      <c r="E50" s="33">
        <v>0</v>
      </c>
      <c r="F50" s="33">
        <v>0</v>
      </c>
      <c r="G50" s="33">
        <v>0</v>
      </c>
      <c r="H50" s="33">
        <v>1</v>
      </c>
      <c r="I50" s="33">
        <v>0</v>
      </c>
    </row>
    <row r="51" spans="1:9">
      <c r="C51" s="17" t="s">
        <v>66</v>
      </c>
      <c r="D51" s="33">
        <f>SUM(E51:I51)</f>
        <v>1</v>
      </c>
      <c r="E51" s="33">
        <v>0</v>
      </c>
      <c r="F51" s="33">
        <v>0</v>
      </c>
      <c r="G51" s="33">
        <v>1</v>
      </c>
      <c r="H51" s="33">
        <v>0</v>
      </c>
      <c r="I51" s="33">
        <v>0</v>
      </c>
    </row>
    <row r="52" spans="1:9">
      <c r="B52" s="64"/>
      <c r="C52" s="19" t="s">
        <v>88</v>
      </c>
      <c r="D52" s="33">
        <f>SUM(E52:I52)</f>
        <v>1</v>
      </c>
      <c r="E52" s="33">
        <f>'FORM 1'!$C$16</f>
        <v>0.50462876088753772</v>
      </c>
      <c r="F52" s="33">
        <f>'FORM 1'!$D$16</f>
        <v>0.23242416555019971</v>
      </c>
      <c r="G52" s="33">
        <f>'FORM 1'!$E$16</f>
        <v>0.26294707356226266</v>
      </c>
      <c r="H52" s="33">
        <f>'FORM 1'!$F$16</f>
        <v>0</v>
      </c>
      <c r="I52" s="33">
        <f>'FORM 1'!$G$16</f>
        <v>0</v>
      </c>
    </row>
    <row r="53" spans="1:9">
      <c r="C53" s="17" t="s">
        <v>98</v>
      </c>
      <c r="D53" s="33">
        <f>SUM(E53:I53)</f>
        <v>1</v>
      </c>
      <c r="E53" s="68">
        <f>'SCH M'!F148</f>
        <v>0.44037754002527002</v>
      </c>
      <c r="F53" s="68">
        <f>'SCH M'!G148</f>
        <v>7.3398818350960335E-2</v>
      </c>
      <c r="G53" s="68">
        <f>'SCH M'!H148</f>
        <v>0.34017577812492666</v>
      </c>
      <c r="H53" s="68">
        <f>'SCH M'!I148</f>
        <v>0.14604786349884299</v>
      </c>
      <c r="I53" s="68">
        <f>'SCH M'!J148</f>
        <v>0</v>
      </c>
    </row>
    <row r="54" spans="1:9">
      <c r="D54" s="68"/>
      <c r="E54" s="68"/>
      <c r="F54" s="68"/>
      <c r="G54" s="68"/>
      <c r="H54" s="68"/>
      <c r="I54" s="68"/>
    </row>
    <row r="55" spans="1:9" s="103" customFormat="1">
      <c r="A55" s="104"/>
      <c r="D55" s="102"/>
      <c r="E55" s="102"/>
      <c r="F55" s="102"/>
      <c r="G55" s="102"/>
      <c r="H55" s="102"/>
      <c r="I55" s="102"/>
    </row>
    <row r="56" spans="1:9">
      <c r="D56" s="68"/>
      <c r="E56" s="68"/>
      <c r="F56" s="68"/>
      <c r="G56" s="68"/>
      <c r="H56" s="68"/>
      <c r="I56" s="68"/>
    </row>
  </sheetData>
  <customSheetViews>
    <customSheetView guid="{20A63875-964B-11D5-AAED-0004762A99E9}" scale="87" colorId="22" fitToPage="1" showRuler="0">
      <selection activeCell="A3" sqref="A3"/>
      <pageMargins left="0.5" right="0.5" top="0.5" bottom="0.75" header="0.5" footer="0.5"/>
      <printOptions horizontalCentered="1"/>
      <pageSetup scale="69" orientation="landscape" r:id="rId1"/>
      <headerFooter alignWithMargins="0">
        <oddFooter>&amp;L&amp;D&amp;C&amp;A&amp;R&amp;F</oddFooter>
      </headerFooter>
    </customSheetView>
  </customSheetViews>
  <phoneticPr fontId="0" type="noConversion"/>
  <printOptions horizontalCentered="1"/>
  <pageMargins left="0.5" right="0.5" top="0.5" bottom="0.65" header="0.4" footer="0.2"/>
  <pageSetup scale="80" orientation="landscape" r:id="rId2"/>
  <headerFooter alignWithMargins="0">
    <oddFooter>&amp;LExhibit RMP_____(CCP-3)&amp;R&amp;F&amp;CTab 3 - Page  4 of 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I72"/>
  <sheetViews>
    <sheetView zoomScale="80" zoomScaleNormal="80" workbookViewId="0">
      <selection activeCell="A35" sqref="A35"/>
    </sheetView>
  </sheetViews>
  <sheetFormatPr defaultRowHeight="12.75"/>
  <cols>
    <col min="1" max="2" width="21.7109375" style="10" customWidth="1"/>
    <col min="3" max="4" width="20.140625" style="10" bestFit="1" customWidth="1"/>
    <col min="5" max="5" width="20" style="10" customWidth="1"/>
    <col min="6" max="6" width="20.140625" style="10" bestFit="1" customWidth="1"/>
    <col min="7" max="7" width="23.5703125" style="10" customWidth="1"/>
    <col min="8" max="8" width="2.85546875" style="10" customWidth="1"/>
    <col min="9" max="9" width="20.5703125" style="10" bestFit="1" customWidth="1"/>
    <col min="10" max="16384" width="9.140625" style="10"/>
  </cols>
  <sheetData>
    <row r="1" spans="1:9">
      <c r="A1" s="280" t="str">
        <f>+'TOTAL FUNCFAC'!A1</f>
        <v>PacifiCorp</v>
      </c>
      <c r="B1" s="280"/>
      <c r="C1" s="280"/>
      <c r="D1" s="280"/>
      <c r="E1" s="280"/>
      <c r="F1" s="280"/>
      <c r="G1" s="280"/>
    </row>
    <row r="2" spans="1:9">
      <c r="A2" s="34" t="str">
        <f>+'TOTAL FUNCFAC'!A2</f>
        <v>12 Months Ended June 2013</v>
      </c>
      <c r="B2" s="34"/>
      <c r="C2" s="35"/>
      <c r="D2" s="20"/>
      <c r="E2" s="20"/>
      <c r="F2" s="20"/>
      <c r="G2" s="20"/>
    </row>
    <row r="3" spans="1:9">
      <c r="A3" s="36" t="s">
        <v>162</v>
      </c>
      <c r="B3" s="36"/>
      <c r="C3" s="36"/>
      <c r="D3" s="20"/>
      <c r="E3" s="20"/>
      <c r="F3" s="20"/>
      <c r="G3" s="20"/>
    </row>
    <row r="4" spans="1:9">
      <c r="A4" s="107"/>
      <c r="B4" s="36"/>
      <c r="C4" s="36"/>
      <c r="D4" s="20"/>
      <c r="E4" s="20"/>
      <c r="F4" s="20"/>
      <c r="G4" s="20"/>
    </row>
    <row r="5" spans="1:9">
      <c r="A5" s="36"/>
      <c r="B5" s="36"/>
      <c r="C5" s="36"/>
      <c r="D5" s="20"/>
      <c r="E5" s="20"/>
      <c r="F5" s="20"/>
      <c r="G5" s="20"/>
    </row>
    <row r="6" spans="1:9" ht="13.5" thickBot="1">
      <c r="A6" s="37" t="s">
        <v>75</v>
      </c>
      <c r="B6" s="37" t="s">
        <v>68</v>
      </c>
      <c r="C6" s="37" t="s">
        <v>60</v>
      </c>
      <c r="D6" s="37" t="s">
        <v>61</v>
      </c>
      <c r="E6" s="37" t="s">
        <v>66</v>
      </c>
      <c r="F6" s="37" t="s">
        <v>69</v>
      </c>
      <c r="G6" s="37" t="s">
        <v>70</v>
      </c>
    </row>
    <row r="7" spans="1:9">
      <c r="E7" s="20"/>
      <c r="F7" s="20"/>
      <c r="G7" s="20"/>
    </row>
    <row r="8" spans="1:9">
      <c r="A8" s="25" t="s">
        <v>163</v>
      </c>
      <c r="B8" s="12">
        <f>SUM(C8:G8)</f>
        <v>23333606.640437309</v>
      </c>
      <c r="C8" s="99">
        <f>+'GROSS PLANT'!D9</f>
        <v>11774809.0060011</v>
      </c>
      <c r="D8" s="99">
        <f>+'GROSS PLANT'!D10</f>
        <v>5423294.05268024</v>
      </c>
      <c r="E8" s="99">
        <f>+'GROSS PLANT'!D11</f>
        <v>6135503.5817559697</v>
      </c>
      <c r="F8" s="276">
        <v>0</v>
      </c>
      <c r="G8" s="276">
        <v>0</v>
      </c>
      <c r="I8" s="194"/>
    </row>
    <row r="9" spans="1:9">
      <c r="A9" s="25" t="s">
        <v>164</v>
      </c>
      <c r="B9" s="12">
        <f>SUM(C9:G9)</f>
        <v>0</v>
      </c>
      <c r="C9" s="12"/>
      <c r="D9" s="12"/>
      <c r="E9" s="12"/>
      <c r="F9" s="12">
        <v>0</v>
      </c>
      <c r="G9" s="12">
        <v>0</v>
      </c>
      <c r="I9" s="98"/>
    </row>
    <row r="10" spans="1:9">
      <c r="A10" s="25" t="s">
        <v>165</v>
      </c>
      <c r="B10" s="12">
        <f>SUM(C10:G10)</f>
        <v>23333606.640437309</v>
      </c>
      <c r="C10" s="12">
        <f>C8+C9</f>
        <v>11774809.0060011</v>
      </c>
      <c r="D10" s="12">
        <f>D8+D9</f>
        <v>5423294.05268024</v>
      </c>
      <c r="E10" s="12">
        <f>E8+E9</f>
        <v>6135503.5817559697</v>
      </c>
      <c r="F10" s="12">
        <v>0</v>
      </c>
      <c r="G10" s="12">
        <v>0</v>
      </c>
    </row>
    <row r="11" spans="1:9">
      <c r="I11" s="164"/>
    </row>
    <row r="12" spans="1:9">
      <c r="A12" s="25" t="s">
        <v>166</v>
      </c>
      <c r="B12" s="12"/>
      <c r="C12" s="12"/>
      <c r="D12" s="12"/>
      <c r="E12" s="12"/>
      <c r="F12" s="12"/>
      <c r="G12" s="12"/>
      <c r="I12" s="164"/>
    </row>
    <row r="13" spans="1:9">
      <c r="A13" s="25" t="s">
        <v>64</v>
      </c>
      <c r="B13" s="79">
        <f t="shared" ref="B13:B18" si="0">SUM(C13:G13)</f>
        <v>1</v>
      </c>
      <c r="C13" s="79">
        <f>C10/C10</f>
        <v>1</v>
      </c>
      <c r="D13" s="79"/>
      <c r="E13" s="79"/>
      <c r="F13" s="79"/>
      <c r="G13" s="79"/>
      <c r="I13" s="164"/>
    </row>
    <row r="14" spans="1:9">
      <c r="A14" s="25" t="s">
        <v>65</v>
      </c>
      <c r="B14" s="27">
        <f t="shared" si="0"/>
        <v>1</v>
      </c>
      <c r="C14" s="27"/>
      <c r="D14" s="27">
        <f>D10/D10</f>
        <v>1</v>
      </c>
      <c r="E14" s="27"/>
      <c r="F14" s="27"/>
      <c r="G14" s="27"/>
      <c r="I14" s="164"/>
    </row>
    <row r="15" spans="1:9">
      <c r="A15" s="25" t="s">
        <v>66</v>
      </c>
      <c r="B15" s="27">
        <f t="shared" si="0"/>
        <v>1</v>
      </c>
      <c r="C15" s="27"/>
      <c r="D15" s="27"/>
      <c r="E15" s="27">
        <f>E10/E10</f>
        <v>1</v>
      </c>
      <c r="F15" s="27"/>
      <c r="G15" s="27"/>
      <c r="I15" s="164"/>
    </row>
    <row r="16" spans="1:9">
      <c r="A16" s="25" t="s">
        <v>88</v>
      </c>
      <c r="B16" s="27">
        <f t="shared" si="0"/>
        <v>1</v>
      </c>
      <c r="C16" s="27">
        <f>C10/$B10</f>
        <v>0.50462876088753772</v>
      </c>
      <c r="D16" s="27">
        <f>D10/$B10</f>
        <v>0.23242416555019971</v>
      </c>
      <c r="E16" s="27">
        <f>E10/$B10</f>
        <v>0.26294707356226266</v>
      </c>
      <c r="F16" s="27">
        <f>F10/$B10</f>
        <v>0</v>
      </c>
      <c r="G16" s="27">
        <f>G10/$B10</f>
        <v>0</v>
      </c>
      <c r="I16" s="164"/>
    </row>
    <row r="17" spans="1:9">
      <c r="A17" s="25" t="s">
        <v>167</v>
      </c>
      <c r="B17" s="27">
        <f t="shared" si="0"/>
        <v>1</v>
      </c>
      <c r="C17" s="27">
        <f>C10/(C10+D10)</f>
        <v>0.6846574279631007</v>
      </c>
      <c r="D17" s="27">
        <f>D10/(C10+D10)</f>
        <v>0.31534257203689942</v>
      </c>
      <c r="E17" s="27"/>
      <c r="F17" s="27"/>
      <c r="G17" s="27"/>
      <c r="I17" s="164"/>
    </row>
    <row r="18" spans="1:9" ht="13.5" thickBot="1">
      <c r="A18" s="25" t="s">
        <v>92</v>
      </c>
      <c r="B18" s="80">
        <f t="shared" si="0"/>
        <v>1</v>
      </c>
      <c r="C18" s="80"/>
      <c r="D18" s="80">
        <f>D10/(D10+E10)</f>
        <v>0.46919188519427402</v>
      </c>
      <c r="E18" s="80">
        <f>E10/(D10+E10)</f>
        <v>0.53080811480572609</v>
      </c>
      <c r="F18" s="80"/>
      <c r="G18" s="80"/>
      <c r="I18" s="164"/>
    </row>
    <row r="19" spans="1:9" ht="13.5" thickTop="1">
      <c r="B19" s="27"/>
      <c r="C19" s="27"/>
      <c r="D19" s="27"/>
      <c r="E19" s="20"/>
      <c r="F19" s="20"/>
      <c r="G19" s="20"/>
      <c r="I19" s="164"/>
    </row>
    <row r="20" spans="1:9">
      <c r="E20" s="20"/>
      <c r="F20" s="192"/>
      <c r="G20" s="20"/>
      <c r="I20" s="164"/>
    </row>
    <row r="21" spans="1:9">
      <c r="A21" s="36"/>
      <c r="B21" s="36"/>
      <c r="C21" s="9"/>
      <c r="D21" s="9"/>
      <c r="E21" s="9"/>
      <c r="F21" s="9"/>
      <c r="G21" s="20"/>
      <c r="I21" s="164"/>
    </row>
    <row r="22" spans="1:9">
      <c r="A22" s="36"/>
      <c r="B22" s="36"/>
      <c r="C22" s="36"/>
      <c r="D22" s="20"/>
      <c r="E22" s="20"/>
      <c r="F22" s="20"/>
      <c r="G22" s="20"/>
      <c r="I22" s="164"/>
    </row>
    <row r="23" spans="1:9">
      <c r="A23" s="25" t="s">
        <v>98</v>
      </c>
      <c r="B23" s="12">
        <f>SUM(C23:G23)</f>
        <v>320167484</v>
      </c>
      <c r="C23" s="274">
        <v>140994569</v>
      </c>
      <c r="D23" s="274">
        <v>23499915</v>
      </c>
      <c r="E23" s="274">
        <v>108913223</v>
      </c>
      <c r="F23" s="274">
        <f>40371041+6388736</f>
        <v>46759777</v>
      </c>
      <c r="G23" s="274">
        <v>0</v>
      </c>
      <c r="H23" s="12"/>
      <c r="I23" s="197"/>
    </row>
    <row r="24" spans="1:9">
      <c r="B24" s="12"/>
      <c r="C24" s="274"/>
      <c r="D24" s="274"/>
      <c r="E24" s="274"/>
      <c r="F24" s="274"/>
      <c r="G24" s="274"/>
      <c r="I24" s="203"/>
    </row>
    <row r="25" spans="1:9" ht="13.5" thickBot="1">
      <c r="A25" s="10" t="s">
        <v>110</v>
      </c>
      <c r="B25" s="38">
        <f t="shared" ref="B25" si="1">B23/$B23</f>
        <v>1</v>
      </c>
      <c r="C25" s="275">
        <f>C23/$B23</f>
        <v>0.44037754002527002</v>
      </c>
      <c r="D25" s="275">
        <f>D23/$B23</f>
        <v>7.3398818350960335E-2</v>
      </c>
      <c r="E25" s="275">
        <f>E23/$B23</f>
        <v>0.34017577812492666</v>
      </c>
      <c r="F25" s="275">
        <f>F23/$B23</f>
        <v>0.14604786349884299</v>
      </c>
      <c r="G25" s="275">
        <f>G23/$B23</f>
        <v>0</v>
      </c>
      <c r="I25" s="202"/>
    </row>
    <row r="26" spans="1:9" ht="13.5" thickTop="1">
      <c r="B26" s="12"/>
      <c r="C26" s="274"/>
      <c r="D26" s="274"/>
      <c r="E26" s="274"/>
      <c r="F26" s="274"/>
      <c r="G26" s="40"/>
      <c r="I26" s="204"/>
    </row>
    <row r="27" spans="1:9">
      <c r="A27" s="40" t="s">
        <v>298</v>
      </c>
      <c r="B27" s="12"/>
      <c r="C27" s="274"/>
      <c r="D27" s="274"/>
      <c r="E27" s="274"/>
      <c r="F27" s="274"/>
      <c r="G27" s="40"/>
      <c r="I27" s="204"/>
    </row>
    <row r="28" spans="1:9">
      <c r="B28" s="12"/>
      <c r="C28" s="274"/>
      <c r="D28" s="274"/>
      <c r="E28" s="274"/>
      <c r="F28" s="274"/>
      <c r="G28" s="40"/>
      <c r="I28" s="204"/>
    </row>
    <row r="29" spans="1:9">
      <c r="B29" s="12"/>
      <c r="C29" s="274"/>
      <c r="D29" s="274"/>
      <c r="E29" s="274"/>
      <c r="F29" s="274"/>
      <c r="G29" s="40"/>
      <c r="I29" s="204"/>
    </row>
    <row r="30" spans="1:9">
      <c r="A30" s="39" t="s">
        <v>111</v>
      </c>
      <c r="B30" s="12">
        <f>SUM(C30:G30)</f>
        <v>112666155</v>
      </c>
      <c r="C30" s="274">
        <v>98097803</v>
      </c>
      <c r="D30" s="274">
        <v>750972</v>
      </c>
      <c r="E30" s="274">
        <v>13817380</v>
      </c>
      <c r="F30" s="274">
        <v>0</v>
      </c>
      <c r="G30" s="274">
        <v>0</v>
      </c>
      <c r="I30" s="197"/>
    </row>
    <row r="31" spans="1:9">
      <c r="B31" s="12"/>
      <c r="C31" s="12"/>
      <c r="D31" s="12"/>
      <c r="E31" s="12"/>
      <c r="F31" s="12"/>
      <c r="G31" s="12"/>
      <c r="I31" s="203"/>
    </row>
    <row r="32" spans="1:9" ht="13.5" thickBot="1">
      <c r="A32" s="40" t="s">
        <v>112</v>
      </c>
      <c r="B32" s="38">
        <f t="shared" ref="B32:G32" si="2">B30/$B30</f>
        <v>1</v>
      </c>
      <c r="C32" s="38">
        <f t="shared" si="2"/>
        <v>0.87069451336117754</v>
      </c>
      <c r="D32" s="38">
        <f t="shared" si="2"/>
        <v>6.6654622233269607E-3</v>
      </c>
      <c r="E32" s="38">
        <f t="shared" si="2"/>
        <v>0.1226400244154955</v>
      </c>
      <c r="F32" s="38">
        <f t="shared" si="2"/>
        <v>0</v>
      </c>
      <c r="G32" s="38">
        <f t="shared" si="2"/>
        <v>0</v>
      </c>
      <c r="I32" s="202"/>
    </row>
    <row r="33" spans="1:9" ht="13.5" thickTop="1">
      <c r="B33" s="12"/>
      <c r="C33" s="12"/>
      <c r="D33" s="12"/>
      <c r="E33" s="12"/>
      <c r="F33" s="12"/>
      <c r="I33" s="202"/>
    </row>
    <row r="34" spans="1:9">
      <c r="A34" s="40" t="s">
        <v>303</v>
      </c>
      <c r="B34" s="12"/>
      <c r="C34" s="12"/>
      <c r="D34" s="12"/>
      <c r="E34" s="12"/>
      <c r="F34" s="12"/>
      <c r="I34" s="204"/>
    </row>
    <row r="35" spans="1:9">
      <c r="B35" s="12"/>
      <c r="C35" s="12"/>
      <c r="D35" s="12"/>
      <c r="E35" s="12"/>
      <c r="F35" s="12"/>
      <c r="I35" s="204"/>
    </row>
    <row r="36" spans="1:9">
      <c r="B36" s="12"/>
      <c r="C36" s="12"/>
      <c r="D36" s="12"/>
      <c r="E36" s="12"/>
      <c r="F36" s="12"/>
      <c r="I36" s="204"/>
    </row>
    <row r="37" spans="1:9">
      <c r="A37" s="39" t="s">
        <v>231</v>
      </c>
      <c r="B37" s="260">
        <v>29314025</v>
      </c>
      <c r="C37" s="274">
        <f>B37-D37</f>
        <v>15698463</v>
      </c>
      <c r="D37" s="260">
        <v>13615562</v>
      </c>
      <c r="E37" s="274">
        <v>0</v>
      </c>
      <c r="F37" s="274">
        <v>0</v>
      </c>
      <c r="G37" s="274">
        <v>0</v>
      </c>
      <c r="I37" s="197"/>
    </row>
    <row r="38" spans="1:9">
      <c r="B38" s="12"/>
      <c r="C38" s="12"/>
      <c r="D38" s="12"/>
      <c r="E38" s="12"/>
      <c r="F38" s="12"/>
      <c r="G38" s="12"/>
      <c r="I38" s="203"/>
    </row>
    <row r="39" spans="1:9" ht="13.5" thickBot="1">
      <c r="A39" s="10" t="s">
        <v>114</v>
      </c>
      <c r="B39" s="38">
        <f t="shared" ref="B39:G39" si="3">B37/$B37</f>
        <v>1</v>
      </c>
      <c r="C39" s="38">
        <f>C37/$B37</f>
        <v>0.53552737981222298</v>
      </c>
      <c r="D39" s="38">
        <f>D37/$B37</f>
        <v>0.46447262018777702</v>
      </c>
      <c r="E39" s="38">
        <f t="shared" si="3"/>
        <v>0</v>
      </c>
      <c r="F39" s="38">
        <f t="shared" si="3"/>
        <v>0</v>
      </c>
      <c r="G39" s="38">
        <f t="shared" si="3"/>
        <v>0</v>
      </c>
      <c r="I39" s="197"/>
    </row>
    <row r="40" spans="1:9" ht="13.5" thickTop="1">
      <c r="B40" s="12"/>
      <c r="C40" s="12"/>
      <c r="D40" s="12"/>
      <c r="E40" s="12"/>
      <c r="F40" s="12"/>
    </row>
    <row r="41" spans="1:9">
      <c r="A41" s="40" t="s">
        <v>302</v>
      </c>
      <c r="B41" s="12"/>
      <c r="C41" s="12"/>
      <c r="D41" s="12"/>
      <c r="E41" s="12"/>
      <c r="F41" s="12"/>
    </row>
    <row r="42" spans="1:9">
      <c r="B42" s="12"/>
      <c r="C42" s="12"/>
      <c r="D42" s="12"/>
      <c r="E42" s="12"/>
      <c r="F42" s="12"/>
    </row>
    <row r="43" spans="1:9">
      <c r="B43" s="162"/>
      <c r="E43" s="41"/>
    </row>
    <row r="44" spans="1:9">
      <c r="B44" s="162"/>
      <c r="E44" s="41"/>
    </row>
    <row r="45" spans="1:9">
      <c r="B45" s="162"/>
      <c r="E45" s="41"/>
    </row>
    <row r="46" spans="1:9">
      <c r="B46" s="162"/>
      <c r="E46" s="41"/>
    </row>
    <row r="47" spans="1:9">
      <c r="E47" s="41"/>
    </row>
    <row r="48" spans="1:9">
      <c r="E48" s="41"/>
    </row>
    <row r="49" spans="2:6">
      <c r="E49" s="41"/>
    </row>
    <row r="50" spans="2:6">
      <c r="E50" s="41"/>
    </row>
    <row r="51" spans="2:6">
      <c r="E51" s="41"/>
    </row>
    <row r="52" spans="2:6">
      <c r="E52" s="41"/>
    </row>
    <row r="53" spans="2:6">
      <c r="E53" s="41"/>
    </row>
    <row r="54" spans="2:6">
      <c r="E54" s="41"/>
    </row>
    <row r="55" spans="2:6">
      <c r="B55" s="137"/>
      <c r="C55" s="137"/>
      <c r="D55" s="137"/>
      <c r="E55" s="41"/>
    </row>
    <row r="56" spans="2:6">
      <c r="B56" s="137"/>
      <c r="C56" s="137"/>
      <c r="D56" s="137"/>
      <c r="E56" s="41"/>
    </row>
    <row r="57" spans="2:6">
      <c r="B57" s="183"/>
      <c r="C57" s="184"/>
      <c r="D57" s="185"/>
      <c r="E57" s="41"/>
    </row>
    <row r="58" spans="2:6">
      <c r="B58" s="137"/>
      <c r="C58" s="186"/>
      <c r="D58" s="186"/>
      <c r="E58" s="41"/>
    </row>
    <row r="59" spans="2:6">
      <c r="B59" s="187"/>
      <c r="C59" s="106"/>
      <c r="D59" s="106"/>
      <c r="E59" s="41"/>
    </row>
    <row r="60" spans="2:6">
      <c r="B60" s="187"/>
      <c r="C60" s="106"/>
      <c r="D60" s="106"/>
      <c r="E60" s="41"/>
    </row>
    <row r="61" spans="2:6">
      <c r="B61" s="187"/>
      <c r="C61" s="106"/>
      <c r="D61" s="106"/>
      <c r="E61" s="41"/>
    </row>
    <row r="62" spans="2:6">
      <c r="B62" s="187"/>
      <c r="C62" s="106"/>
      <c r="D62" s="106"/>
      <c r="E62" s="41"/>
    </row>
    <row r="63" spans="2:6">
      <c r="B63" s="187"/>
      <c r="C63" s="106"/>
      <c r="D63" s="106"/>
      <c r="E63" s="137"/>
      <c r="F63" s="137"/>
    </row>
    <row r="64" spans="2:6">
      <c r="B64" s="187"/>
      <c r="C64" s="188"/>
      <c r="D64" s="188"/>
      <c r="E64" s="137"/>
      <c r="F64" s="137"/>
    </row>
    <row r="65" spans="2:6">
      <c r="B65" s="187"/>
      <c r="C65" s="106"/>
      <c r="D65" s="106"/>
      <c r="E65" s="137"/>
      <c r="F65" s="137"/>
    </row>
    <row r="66" spans="2:6">
      <c r="B66" s="187"/>
      <c r="C66" s="106"/>
      <c r="D66" s="106"/>
      <c r="E66" s="137"/>
      <c r="F66" s="137"/>
    </row>
    <row r="67" spans="2:6">
      <c r="B67" s="187"/>
      <c r="C67" s="106"/>
      <c r="D67" s="106"/>
      <c r="E67" s="137"/>
      <c r="F67" s="137"/>
    </row>
    <row r="68" spans="2:6">
      <c r="B68" s="187"/>
      <c r="C68" s="106"/>
      <c r="D68" s="106"/>
      <c r="E68" s="137"/>
      <c r="F68" s="137"/>
    </row>
    <row r="69" spans="2:6">
      <c r="B69" s="187"/>
      <c r="C69" s="106"/>
      <c r="D69" s="106"/>
      <c r="E69" s="137"/>
      <c r="F69" s="137"/>
    </row>
    <row r="70" spans="2:6">
      <c r="B70" s="187"/>
      <c r="C70" s="106"/>
      <c r="D70" s="106"/>
      <c r="E70" s="137"/>
      <c r="F70" s="137"/>
    </row>
    <row r="71" spans="2:6">
      <c r="B71" s="137"/>
      <c r="C71" s="189"/>
      <c r="D71" s="189"/>
      <c r="E71" s="137"/>
      <c r="F71" s="137"/>
    </row>
    <row r="72" spans="2:6">
      <c r="B72" s="137"/>
      <c r="C72" s="137"/>
      <c r="D72" s="137"/>
      <c r="E72" s="137"/>
      <c r="F72" s="137"/>
    </row>
  </sheetData>
  <customSheetViews>
    <customSheetView guid="{20A63875-964B-11D5-AAED-0004762A99E9}" fitToPage="1" showRuler="0" topLeftCell="A5">
      <selection activeCell="A3" sqref="A3"/>
      <pageMargins left="0.75" right="0.75" top="1" bottom="1" header="0.5" footer="0.5"/>
      <printOptions horizontalCentered="1"/>
      <pageSetup scale="61" orientation="landscape" r:id="rId1"/>
      <headerFooter alignWithMargins="0">
        <oddFooter>&amp;L&amp;D&amp;C&amp;A&amp;R&amp;F</oddFooter>
      </headerFooter>
    </customSheetView>
  </customSheetViews>
  <mergeCells count="1">
    <mergeCell ref="A1:G1"/>
  </mergeCells>
  <phoneticPr fontId="0" type="noConversion"/>
  <printOptions horizontalCentered="1"/>
  <pageMargins left="0.5" right="0.5" top="0.5" bottom="0.65" header="0.4" footer="0.2"/>
  <pageSetup scale="82" orientation="landscape" r:id="rId2"/>
  <headerFooter alignWithMargins="0">
    <oddFooter>&amp;LExhibit RMP_____(CCP-3)&amp;R&amp;F&amp;CTab 3 - Page 16 of 16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 enableFormatConditionsCalculation="0">
    <pageSetUpPr fitToPage="1"/>
  </sheetPr>
  <dimension ref="A1:L32"/>
  <sheetViews>
    <sheetView zoomScale="90" workbookViewId="0">
      <selection activeCell="B7" sqref="B7:B11"/>
    </sheetView>
  </sheetViews>
  <sheetFormatPr defaultRowHeight="12.75"/>
  <cols>
    <col min="1" max="1" width="16.5703125" style="10" bestFit="1" customWidth="1"/>
    <col min="2" max="7" width="15.7109375" style="10" customWidth="1"/>
    <col min="8" max="8" width="20" style="10" bestFit="1" customWidth="1"/>
    <col min="9" max="11" width="9.140625" style="10"/>
    <col min="12" max="12" width="14.7109375" style="10" customWidth="1"/>
    <col min="13" max="16384" width="9.140625" style="10"/>
  </cols>
  <sheetData>
    <row r="1" spans="1:12" ht="15.75" customHeight="1">
      <c r="A1" s="277" t="str">
        <f>+'TOTAL FUNCFAC'!$A$1</f>
        <v>PacifiCorp</v>
      </c>
      <c r="B1" s="277"/>
      <c r="C1" s="277"/>
      <c r="D1" s="277"/>
      <c r="E1" s="277"/>
      <c r="F1" s="277"/>
      <c r="G1" s="277"/>
    </row>
    <row r="2" spans="1:12" ht="15.75" customHeight="1">
      <c r="A2" s="277" t="str">
        <f>+'TOTAL FUNCFAC'!A2</f>
        <v>12 Months Ended June 2013</v>
      </c>
      <c r="B2" s="277"/>
      <c r="C2" s="277"/>
      <c r="D2" s="277"/>
      <c r="E2" s="277"/>
      <c r="F2" s="277"/>
      <c r="G2" s="277"/>
    </row>
    <row r="3" spans="1:12" ht="15.75" customHeight="1">
      <c r="A3" s="277" t="s">
        <v>235</v>
      </c>
      <c r="B3" s="277"/>
      <c r="C3" s="277"/>
      <c r="D3" s="277"/>
      <c r="E3" s="277"/>
      <c r="F3" s="277"/>
      <c r="G3" s="277"/>
    </row>
    <row r="4" spans="1:12">
      <c r="A4" s="107"/>
      <c r="B4" s="21"/>
      <c r="L4" s="9"/>
    </row>
    <row r="5" spans="1:12">
      <c r="B5" s="22"/>
      <c r="H5" s="107"/>
      <c r="L5" s="9"/>
    </row>
    <row r="6" spans="1:12">
      <c r="A6" s="31" t="s">
        <v>76</v>
      </c>
      <c r="B6" s="160" t="s">
        <v>77</v>
      </c>
      <c r="C6" s="160" t="s">
        <v>60</v>
      </c>
      <c r="D6" s="160" t="s">
        <v>61</v>
      </c>
      <c r="E6" s="160" t="s">
        <v>66</v>
      </c>
      <c r="F6" s="160" t="s">
        <v>69</v>
      </c>
      <c r="G6" s="160" t="s">
        <v>70</v>
      </c>
      <c r="H6" s="108"/>
      <c r="L6" s="9"/>
    </row>
    <row r="7" spans="1:12">
      <c r="A7" s="137" t="s">
        <v>69</v>
      </c>
      <c r="B7" s="238">
        <v>1647.816290000002</v>
      </c>
      <c r="C7" s="81">
        <f>VLOOKUP($A7,$A$16:$G$22,3,FALSE)*$B7</f>
        <v>0</v>
      </c>
      <c r="D7" s="81">
        <f>VLOOKUP($A7,$A$16:$G$22,4,FALSE)*$B7</f>
        <v>0</v>
      </c>
      <c r="E7" s="81">
        <f>VLOOKUP($A7,$A$16:$G$22,5,FALSE)*$B7</f>
        <v>0</v>
      </c>
      <c r="F7" s="81">
        <f>VLOOKUP($A7,$A$16:$G$22,6,FALSE)*$B7</f>
        <v>1647.816290000002</v>
      </c>
      <c r="G7" s="81">
        <f>VLOOKUP($A7,$A$16:$G$22,7,FALSE)*$B7</f>
        <v>0</v>
      </c>
      <c r="H7" s="107"/>
    </row>
    <row r="8" spans="1:12">
      <c r="A8" s="137" t="s">
        <v>66</v>
      </c>
      <c r="B8" s="238">
        <v>157948.10569000003</v>
      </c>
      <c r="C8" s="81">
        <f>VLOOKUP($A8,$A$16:$G$22,3,FALSE)*$B8</f>
        <v>0</v>
      </c>
      <c r="D8" s="81">
        <f>VLOOKUP($A8,$A$16:$G$22,4,FALSE)*$B8</f>
        <v>0</v>
      </c>
      <c r="E8" s="81">
        <f>VLOOKUP($A8,$A$16:$G$22,5,FALSE)*$B8</f>
        <v>157948.10569000003</v>
      </c>
      <c r="F8" s="81">
        <f>VLOOKUP($A8,$A$16:$G$22,6,FALSE)*$B8</f>
        <v>0</v>
      </c>
      <c r="G8" s="81">
        <f>VLOOKUP($A8,$A$16:$G$22,7,FALSE)*$B8</f>
        <v>0</v>
      </c>
      <c r="H8" s="107"/>
    </row>
    <row r="9" spans="1:12">
      <c r="A9" s="137" t="s">
        <v>64</v>
      </c>
      <c r="B9" s="238">
        <v>286302.12248999928</v>
      </c>
      <c r="C9" s="81">
        <f>VLOOKUP($A9,$A$16:$G$22,3,FALSE)*$B9</f>
        <v>286302.12248999928</v>
      </c>
      <c r="D9" s="81">
        <f>VLOOKUP($A9,$A$16:$G$22,4,FALSE)*$B9</f>
        <v>0</v>
      </c>
      <c r="E9" s="81">
        <f>VLOOKUP($A9,$A$16:$G$22,5,FALSE)*$B9</f>
        <v>0</v>
      </c>
      <c r="F9" s="81">
        <f>VLOOKUP($A9,$A$16:$G$22,6,FALSE)*$B9</f>
        <v>0</v>
      </c>
      <c r="G9" s="81">
        <f>VLOOKUP($A9,$A$16:$G$22,7,FALSE)*$B9</f>
        <v>0</v>
      </c>
    </row>
    <row r="10" spans="1:12">
      <c r="A10" s="137" t="s">
        <v>88</v>
      </c>
      <c r="B10" s="238">
        <v>14437.197780000281</v>
      </c>
      <c r="C10" s="81">
        <f>VLOOKUP($A10,$A$16:$G$22,3,FALSE)*$B10</f>
        <v>7285.4252264098523</v>
      </c>
      <c r="D10" s="81">
        <f>VLOOKUP($A10,$A$16:$G$22,4,FALSE)*$B10</f>
        <v>3355.5536468997607</v>
      </c>
      <c r="E10" s="81">
        <f>VLOOKUP($A10,$A$16:$G$22,5,FALSE)*$B10</f>
        <v>3796.218906690669</v>
      </c>
      <c r="F10" s="81">
        <f>VLOOKUP($A10,$A$16:$G$22,6,FALSE)*$B10</f>
        <v>0</v>
      </c>
      <c r="G10" s="81">
        <f>VLOOKUP($A10,$A$16:$G$22,7,FALSE)*$B10</f>
        <v>0</v>
      </c>
    </row>
    <row r="11" spans="1:12">
      <c r="A11" s="137" t="s">
        <v>65</v>
      </c>
      <c r="B11" s="238">
        <v>89720.063970005678</v>
      </c>
      <c r="C11" s="81">
        <f>VLOOKUP($A11,$A$16:$G$22,3,FALSE)*$B11</f>
        <v>0</v>
      </c>
      <c r="D11" s="81">
        <f>VLOOKUP($A11,$A$16:$G$22,4,FALSE)*$B11</f>
        <v>89720.063970005678</v>
      </c>
      <c r="E11" s="81">
        <f>VLOOKUP($A11,$A$16:$G$22,5,FALSE)*$B11</f>
        <v>0</v>
      </c>
      <c r="F11" s="81">
        <f>VLOOKUP($A11,$A$16:$G$22,6,FALSE)*$B11</f>
        <v>0</v>
      </c>
      <c r="G11" s="81">
        <f>VLOOKUP($A11,$A$16:$G$22,7,FALSE)*$B11</f>
        <v>0</v>
      </c>
    </row>
    <row r="12" spans="1:12">
      <c r="A12" s="136" t="s">
        <v>90</v>
      </c>
      <c r="B12" s="81">
        <f t="shared" ref="B12:G12" si="0">SUM(B7:B11)</f>
        <v>550055.30622000527</v>
      </c>
      <c r="C12" s="81">
        <f t="shared" si="0"/>
        <v>293587.54771640914</v>
      </c>
      <c r="D12" s="81">
        <f t="shared" si="0"/>
        <v>93075.617616905438</v>
      </c>
      <c r="E12" s="81">
        <f t="shared" si="0"/>
        <v>161744.32459669068</v>
      </c>
      <c r="F12" s="81">
        <f t="shared" si="0"/>
        <v>1647.816290000002</v>
      </c>
      <c r="G12" s="81">
        <f t="shared" si="0"/>
        <v>0</v>
      </c>
      <c r="H12" s="26"/>
    </row>
    <row r="13" spans="1:12" s="137" customFormat="1">
      <c r="A13" s="136" t="s">
        <v>93</v>
      </c>
      <c r="B13" s="236">
        <f t="shared" ref="B13:G13" si="1">B12/$B12</f>
        <v>1</v>
      </c>
      <c r="C13" s="237">
        <f t="shared" si="1"/>
        <v>0.53374186994749784</v>
      </c>
      <c r="D13" s="237">
        <f t="shared" si="1"/>
        <v>0.16921138031832392</v>
      </c>
      <c r="E13" s="237">
        <f t="shared" si="1"/>
        <v>0.29405102135674682</v>
      </c>
      <c r="F13" s="237">
        <f t="shared" si="1"/>
        <v>2.9957283774314251E-3</v>
      </c>
      <c r="G13" s="237">
        <f t="shared" si="1"/>
        <v>0</v>
      </c>
    </row>
    <row r="14" spans="1:12" s="137" customFormat="1">
      <c r="B14" s="161"/>
      <c r="C14" s="161"/>
      <c r="D14" s="161"/>
      <c r="E14" s="161"/>
      <c r="F14" s="161"/>
      <c r="G14" s="161"/>
    </row>
    <row r="15" spans="1:12">
      <c r="B15" s="26"/>
    </row>
    <row r="16" spans="1:12">
      <c r="A16" s="10" t="s">
        <v>64</v>
      </c>
      <c r="B16" s="27">
        <f>'FORM 1'!$B$13</f>
        <v>1</v>
      </c>
      <c r="C16" s="27">
        <f>'FORM 1'!$C$13</f>
        <v>1</v>
      </c>
      <c r="D16" s="27">
        <f>'FORM 1'!$D$13</f>
        <v>0</v>
      </c>
      <c r="E16" s="27">
        <f>'FORM 1'!$E$13</f>
        <v>0</v>
      </c>
      <c r="F16" s="27">
        <f>'FORM 1'!$F$13</f>
        <v>0</v>
      </c>
      <c r="G16" s="27">
        <f>'FORM 1'!$G$13</f>
        <v>0</v>
      </c>
    </row>
    <row r="17" spans="1:7">
      <c r="A17" s="10" t="s">
        <v>65</v>
      </c>
      <c r="B17" s="27">
        <f>'FORM 1'!$B$14</f>
        <v>1</v>
      </c>
      <c r="C17" s="27">
        <f>'FORM 1'!$C$14</f>
        <v>0</v>
      </c>
      <c r="D17" s="27">
        <f>'FORM 1'!$D$14</f>
        <v>1</v>
      </c>
      <c r="E17" s="27">
        <f>'FORM 1'!$E$14</f>
        <v>0</v>
      </c>
      <c r="F17" s="27">
        <f>'FORM 1'!$F$14</f>
        <v>0</v>
      </c>
      <c r="G17" s="27">
        <f>'FORM 1'!$G$14</f>
        <v>0</v>
      </c>
    </row>
    <row r="18" spans="1:7">
      <c r="A18" s="10" t="s">
        <v>66</v>
      </c>
      <c r="B18" s="27">
        <f>'FORM 1'!$B$15</f>
        <v>1</v>
      </c>
      <c r="C18" s="27">
        <f>'FORM 1'!$C$15</f>
        <v>0</v>
      </c>
      <c r="D18" s="27">
        <f>'FORM 1'!$D$15</f>
        <v>0</v>
      </c>
      <c r="E18" s="27">
        <f>'FORM 1'!$E$15</f>
        <v>1</v>
      </c>
      <c r="F18" s="27">
        <f>'FORM 1'!$F$15</f>
        <v>0</v>
      </c>
      <c r="G18" s="27">
        <f>'FORM 1'!$G$15</f>
        <v>0</v>
      </c>
    </row>
    <row r="19" spans="1:7">
      <c r="A19" s="10" t="s">
        <v>69</v>
      </c>
      <c r="B19" s="27">
        <f>'FORM 1'!$B$15</f>
        <v>1</v>
      </c>
      <c r="C19" s="27">
        <v>0</v>
      </c>
      <c r="D19" s="27">
        <v>0</v>
      </c>
      <c r="E19" s="27">
        <v>0</v>
      </c>
      <c r="F19" s="27">
        <v>1</v>
      </c>
      <c r="G19" s="27">
        <v>0</v>
      </c>
    </row>
    <row r="20" spans="1:7">
      <c r="A20" s="10" t="s">
        <v>88</v>
      </c>
      <c r="B20" s="27">
        <f>'FORM 1'!$B$16</f>
        <v>1</v>
      </c>
      <c r="C20" s="27">
        <f>'FORM 1'!$C$16</f>
        <v>0.50462876088753772</v>
      </c>
      <c r="D20" s="27">
        <f>'FORM 1'!$D$16</f>
        <v>0.23242416555019971</v>
      </c>
      <c r="E20" s="27">
        <f>'FORM 1'!$E$16</f>
        <v>0.26294707356226266</v>
      </c>
      <c r="F20" s="27">
        <f>'FORM 1'!$F$16</f>
        <v>0</v>
      </c>
      <c r="G20" s="27">
        <f>'FORM 1'!$G$16</f>
        <v>0</v>
      </c>
    </row>
    <row r="21" spans="1:7">
      <c r="A21" s="10" t="s">
        <v>92</v>
      </c>
      <c r="B21" s="27">
        <f>'FORM 1'!$B$18</f>
        <v>1</v>
      </c>
      <c r="C21" s="27">
        <f>'FORM 1'!$C$18</f>
        <v>0</v>
      </c>
      <c r="D21" s="27">
        <f>'FORM 1'!$D$18</f>
        <v>0.46919188519427402</v>
      </c>
      <c r="E21" s="27">
        <f>'FORM 1'!$E$18</f>
        <v>0.53080811480572609</v>
      </c>
      <c r="F21" s="27">
        <f>'FORM 1'!$F$18</f>
        <v>0</v>
      </c>
      <c r="G21" s="27">
        <f>'FORM 1'!$G$18</f>
        <v>0</v>
      </c>
    </row>
    <row r="22" spans="1:7">
      <c r="A22" s="10" t="s">
        <v>67</v>
      </c>
      <c r="B22" s="27">
        <f>'GENERAL PLANT'!$D$38</f>
        <v>1</v>
      </c>
      <c r="C22" s="27">
        <f>'GENERAL PLANT'!$E$38</f>
        <v>0.22768115207366432</v>
      </c>
      <c r="D22" s="27">
        <f>'GENERAL PLANT'!$F$38</f>
        <v>0.31587318219250599</v>
      </c>
      <c r="E22" s="27">
        <f>'GENERAL PLANT'!$G$38</f>
        <v>0.43315507380497675</v>
      </c>
      <c r="F22" s="27">
        <f>'GENERAL PLANT'!$H$38</f>
        <v>2.3290591928853015E-2</v>
      </c>
      <c r="G22" s="27">
        <f>'GENERAL PLANT'!$I$38</f>
        <v>0</v>
      </c>
    </row>
    <row r="25" spans="1:7">
      <c r="B25" s="9"/>
    </row>
    <row r="26" spans="1:7">
      <c r="B26" s="9"/>
    </row>
    <row r="27" spans="1:7">
      <c r="B27" s="26"/>
    </row>
    <row r="28" spans="1:7">
      <c r="B28" s="26"/>
    </row>
    <row r="30" spans="1:7">
      <c r="B30" s="28"/>
    </row>
    <row r="31" spans="1:7">
      <c r="B31" s="9"/>
    </row>
    <row r="32" spans="1:7">
      <c r="B32" s="26"/>
    </row>
  </sheetData>
  <customSheetViews>
    <customSheetView guid="{20A63875-964B-11D5-AAED-0004762A99E9}" fitToPage="1" showRuler="0" topLeftCell="A8">
      <pane ySplit="1" topLeftCell="A14" activePane="bottomLeft"/>
      <selection pane="bottomLeft" activeCell="G24" sqref="G24"/>
      <pageMargins left="0.75" right="0.75" top="1" bottom="1" header="0.5" footer="0.5"/>
      <printOptions horizontalCentered="1"/>
      <pageSetup orientation="landscape" horizontalDpi="0" r:id="rId1"/>
      <headerFooter alignWithMargins="0">
        <oddFooter>&amp;L&amp;D&amp;C&amp;A&amp;R&amp;F</oddFooter>
      </headerFooter>
    </customSheetView>
  </customSheetViews>
  <mergeCells count="3">
    <mergeCell ref="A1:G1"/>
    <mergeCell ref="A2:G2"/>
    <mergeCell ref="A3:G3"/>
  </mergeCells>
  <phoneticPr fontId="0" type="noConversion"/>
  <printOptions horizontalCentered="1"/>
  <pageMargins left="0.5" right="0.5" top="0.5" bottom="0.65" header="0.4" footer="0.2"/>
  <pageSetup orientation="landscape" r:id="rId2"/>
  <headerFooter alignWithMargins="0">
    <oddFooter>&amp;LExhibit RMP_____(CCP-3)&amp;R&amp;F&amp;CTab 3 - Page  8 of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 enableFormatConditionsCalculation="0">
    <pageSetUpPr fitToPage="1"/>
  </sheetPr>
  <dimension ref="A1:J38"/>
  <sheetViews>
    <sheetView zoomScale="90" workbookViewId="0">
      <selection activeCell="G20" sqref="G20"/>
    </sheetView>
  </sheetViews>
  <sheetFormatPr defaultRowHeight="12.75"/>
  <cols>
    <col min="1" max="3" width="9.140625" style="10"/>
    <col min="4" max="4" width="16.7109375" style="10" customWidth="1"/>
    <col min="5" max="5" width="17.5703125" style="10" customWidth="1"/>
    <col min="6" max="6" width="14.7109375" style="10" customWidth="1"/>
    <col min="7" max="9" width="16.7109375" style="10" customWidth="1"/>
    <col min="10" max="10" width="11.7109375" style="10" bestFit="1" customWidth="1"/>
    <col min="11" max="16384" width="9.140625" style="10"/>
  </cols>
  <sheetData>
    <row r="1" spans="1:10">
      <c r="A1" s="29" t="str">
        <f>+'TOTAL FUNCFAC'!A1</f>
        <v>PacifiCorp</v>
      </c>
      <c r="B1" s="20"/>
      <c r="C1" s="20"/>
      <c r="D1" s="20"/>
      <c r="E1" s="20"/>
      <c r="F1" s="20"/>
      <c r="G1" s="20"/>
      <c r="H1" s="20"/>
      <c r="I1" s="20"/>
    </row>
    <row r="2" spans="1:10">
      <c r="A2" s="280" t="str">
        <f>+'TOTAL FUNCFAC'!A2:A2</f>
        <v>12 Months Ended June 2013</v>
      </c>
      <c r="B2" s="280"/>
      <c r="C2" s="280"/>
      <c r="D2" s="280"/>
      <c r="E2" s="280"/>
      <c r="F2" s="280"/>
      <c r="G2" s="280"/>
      <c r="H2" s="280"/>
      <c r="I2" s="280"/>
    </row>
    <row r="3" spans="1:10">
      <c r="A3" s="280" t="s">
        <v>71</v>
      </c>
      <c r="B3" s="280"/>
      <c r="C3" s="280"/>
      <c r="D3" s="280"/>
      <c r="E3" s="280"/>
      <c r="F3" s="280"/>
      <c r="G3" s="280"/>
      <c r="H3" s="280"/>
      <c r="I3" s="280"/>
    </row>
    <row r="4" spans="1:10">
      <c r="D4" s="107"/>
    </row>
    <row r="5" spans="1:10">
      <c r="A5" s="10" t="s">
        <v>72</v>
      </c>
      <c r="J5" s="107"/>
    </row>
    <row r="6" spans="1:10">
      <c r="A6" s="13" t="s">
        <v>74</v>
      </c>
      <c r="B6" s="13" t="s">
        <v>75</v>
      </c>
      <c r="C6" s="13" t="s">
        <v>76</v>
      </c>
      <c r="D6" s="14" t="s">
        <v>77</v>
      </c>
      <c r="E6" s="14" t="s">
        <v>60</v>
      </c>
      <c r="F6" s="14" t="s">
        <v>61</v>
      </c>
      <c r="G6" s="14" t="s">
        <v>66</v>
      </c>
      <c r="H6" s="14" t="s">
        <v>143</v>
      </c>
      <c r="I6" s="14" t="s">
        <v>70</v>
      </c>
      <c r="J6" s="108"/>
    </row>
    <row r="7" spans="1:10">
      <c r="A7" s="10" t="s">
        <v>78</v>
      </c>
      <c r="B7" s="40" t="s">
        <v>288</v>
      </c>
      <c r="C7" s="10" t="s">
        <v>70</v>
      </c>
      <c r="D7" s="239">
        <v>0</v>
      </c>
      <c r="E7" s="159">
        <f>$D7*VLOOKUP(+$C7,$C$29:$I35,3,FALSE)</f>
        <v>0</v>
      </c>
      <c r="F7" s="159">
        <f>$D7*VLOOKUP(+$C7,$C$29:$I35,4,FALSE)</f>
        <v>0</v>
      </c>
      <c r="G7" s="159">
        <f>$D7*VLOOKUP(+$C7,$C$29:$I35,5,FALSE)</f>
        <v>0</v>
      </c>
      <c r="H7" s="159">
        <f>$D7*VLOOKUP(+$C7,$C$29:$I35,6,FALSE)</f>
        <v>0</v>
      </c>
      <c r="I7" s="159">
        <f>$D7*VLOOKUP(+$C7,$C$29:$I35,7,FALSE)</f>
        <v>0</v>
      </c>
      <c r="J7" s="108"/>
    </row>
    <row r="8" spans="1:10">
      <c r="A8" s="10" t="s">
        <v>78</v>
      </c>
      <c r="B8" s="40" t="s">
        <v>288</v>
      </c>
      <c r="C8" s="10" t="s">
        <v>64</v>
      </c>
      <c r="D8" s="239">
        <v>0</v>
      </c>
      <c r="E8" s="159">
        <f>$D8*VLOOKUP(+$C8,$C$29:$I36,3,FALSE)</f>
        <v>0</v>
      </c>
      <c r="F8" s="159">
        <f>$D8*VLOOKUP(+$C8,$C$29:$I36,4,FALSE)</f>
        <v>0</v>
      </c>
      <c r="G8" s="159">
        <f>$D8*VLOOKUP(+$C8,$C$29:$I36,5,FALSE)</f>
        <v>0</v>
      </c>
      <c r="H8" s="159">
        <f>$D8*VLOOKUP(+$C8,$C$29:$I36,6,FALSE)</f>
        <v>0</v>
      </c>
      <c r="I8" s="159">
        <f>$D8*VLOOKUP(+$C8,$C$29:$I36,7,FALSE)</f>
        <v>0</v>
      </c>
    </row>
    <row r="9" spans="1:10">
      <c r="A9" s="10" t="s">
        <v>78</v>
      </c>
      <c r="B9" s="10" t="s">
        <v>81</v>
      </c>
      <c r="C9" s="10" t="s">
        <v>65</v>
      </c>
      <c r="D9" s="240">
        <v>13596.926240000001</v>
      </c>
      <c r="E9" s="159">
        <f>$D9*VLOOKUP(+$C9,$C$29:$I37,3,FALSE)</f>
        <v>0</v>
      </c>
      <c r="F9" s="159">
        <f>$D9*VLOOKUP(+$C9,$C$29:$I37,4,FALSE)</f>
        <v>13596.926240000001</v>
      </c>
      <c r="G9" s="159">
        <f>$D9*VLOOKUP(+$C9,$C$29:$I37,5,FALSE)</f>
        <v>0</v>
      </c>
      <c r="H9" s="159">
        <f>$D9*VLOOKUP(+$C9,$C$29:$I37,6,FALSE)</f>
        <v>0</v>
      </c>
      <c r="I9" s="159">
        <f>$D9*VLOOKUP(+$C9,$C$29:$I37,7,FALSE)</f>
        <v>0</v>
      </c>
    </row>
    <row r="10" spans="1:10">
      <c r="A10" s="10" t="s">
        <v>78</v>
      </c>
      <c r="B10" s="10" t="s">
        <v>83</v>
      </c>
      <c r="C10" s="10" t="s">
        <v>64</v>
      </c>
      <c r="D10" s="240">
        <v>90802.96639999999</v>
      </c>
      <c r="E10" s="159">
        <f>$D10*VLOOKUP(+$C10,$C$29:$I38,3,FALSE)</f>
        <v>90802.96639999999</v>
      </c>
      <c r="F10" s="159">
        <f>$D10*VLOOKUP(+$C10,$C$29:$I38,4,FALSE)</f>
        <v>0</v>
      </c>
      <c r="G10" s="159">
        <f>$D10*VLOOKUP(+$C10,$C$29:$I38,5,FALSE)</f>
        <v>0</v>
      </c>
      <c r="H10" s="159">
        <f>$D10*VLOOKUP(+$C10,$C$29:$I38,6,FALSE)</f>
        <v>0</v>
      </c>
      <c r="I10" s="159">
        <f>$D10*VLOOKUP(+$C10,$C$29:$I38,7,FALSE)</f>
        <v>0</v>
      </c>
    </row>
    <row r="11" spans="1:10">
      <c r="A11" s="10" t="s">
        <v>78</v>
      </c>
      <c r="B11" s="10" t="s">
        <v>83</v>
      </c>
      <c r="C11" s="10" t="s">
        <v>65</v>
      </c>
      <c r="D11" s="240">
        <v>65525.600619999808</v>
      </c>
      <c r="E11" s="159">
        <f>$D11*VLOOKUP(+$C11,$C$29:$I38,3,FALSE)</f>
        <v>0</v>
      </c>
      <c r="F11" s="159">
        <f>$D11*VLOOKUP(+$C11,$C$29:$I38,4,FALSE)</f>
        <v>65525.600619999808</v>
      </c>
      <c r="G11" s="159">
        <f>$D11*VLOOKUP(+$C11,$C$29:$I38,5,FALSE)</f>
        <v>0</v>
      </c>
      <c r="H11" s="159">
        <f>$D11*VLOOKUP(+$C11,$C$29:$I38,6,FALSE)</f>
        <v>0</v>
      </c>
      <c r="I11" s="159">
        <f>$D11*VLOOKUP(+$C11,$C$29:$I38,7,FALSE)</f>
        <v>0</v>
      </c>
    </row>
    <row r="12" spans="1:10">
      <c r="A12" s="10" t="s">
        <v>78</v>
      </c>
      <c r="B12" s="10" t="s">
        <v>85</v>
      </c>
      <c r="C12" s="40" t="s">
        <v>70</v>
      </c>
      <c r="D12" s="240">
        <v>567.74491999999998</v>
      </c>
      <c r="E12" s="159">
        <f>$D12*VLOOKUP(+$C12,$C$29:$I39,3,FALSE)</f>
        <v>0</v>
      </c>
      <c r="F12" s="159">
        <f>$D12*VLOOKUP(+$C12,$C$29:$I39,4,FALSE)</f>
        <v>0</v>
      </c>
      <c r="G12" s="159">
        <f>$D12*VLOOKUP(+$C12,$C$29:$I39,5,FALSE)</f>
        <v>0</v>
      </c>
      <c r="H12" s="159">
        <f>$D12*VLOOKUP(+$C12,$C$29:$I39,6,FALSE)</f>
        <v>0</v>
      </c>
      <c r="I12" s="159">
        <f>$D12*VLOOKUP(+$C12,$C$29:$I39,7,FALSE)</f>
        <v>567.74491999999998</v>
      </c>
    </row>
    <row r="13" spans="1:10">
      <c r="A13" s="10" t="s">
        <v>78</v>
      </c>
      <c r="B13" s="10" t="s">
        <v>12</v>
      </c>
      <c r="C13" s="10" t="s">
        <v>70</v>
      </c>
      <c r="D13" s="240">
        <v>-572.68417999999997</v>
      </c>
      <c r="E13" s="159">
        <f>$D13*VLOOKUP(+$C13,$C$29:$I40,3,FALSE)</f>
        <v>0</v>
      </c>
      <c r="F13" s="159">
        <f>$D13*VLOOKUP(+$C13,$C$29:$I40,4,FALSE)</f>
        <v>0</v>
      </c>
      <c r="G13" s="159">
        <f>$D13*VLOOKUP(+$C13,$C$29:$I40,5,FALSE)</f>
        <v>0</v>
      </c>
      <c r="H13" s="159">
        <f>$D13*VLOOKUP(+$C13,$C$29:$I40,6,FALSE)</f>
        <v>0</v>
      </c>
      <c r="I13" s="159">
        <f>$D13*VLOOKUP(+$C13,$C$29:$I40,7,FALSE)</f>
        <v>-572.68417999999997</v>
      </c>
    </row>
    <row r="14" spans="1:10">
      <c r="A14" s="10" t="s">
        <v>78</v>
      </c>
      <c r="B14" s="10" t="s">
        <v>12</v>
      </c>
      <c r="C14" s="40" t="s">
        <v>64</v>
      </c>
      <c r="D14" s="239">
        <v>0</v>
      </c>
      <c r="E14" s="159">
        <f>$D14*VLOOKUP(+$C14,$C$29:$I41,3,FALSE)</f>
        <v>0</v>
      </c>
      <c r="F14" s="159">
        <f>$D14*VLOOKUP(+$C14,$C$29:$I41,4,FALSE)</f>
        <v>0</v>
      </c>
      <c r="G14" s="159">
        <f>$D14*VLOOKUP(+$C14,$C$29:$I41,5,FALSE)</f>
        <v>0</v>
      </c>
      <c r="H14" s="159">
        <f>$D14*VLOOKUP(+$C14,$C$29:$I41,6,FALSE)</f>
        <v>0</v>
      </c>
      <c r="I14" s="159">
        <f>$D14*VLOOKUP(+$C14,$C$29:$I41,7,FALSE)</f>
        <v>0</v>
      </c>
    </row>
    <row r="15" spans="1:10" s="137" customFormat="1">
      <c r="A15" s="31" t="s">
        <v>79</v>
      </c>
      <c r="D15" s="159">
        <f t="shared" ref="D15:I15" si="0">SUMIF($B:$B,"SITUS",D:D)</f>
        <v>-572.68417999999997</v>
      </c>
      <c r="E15" s="159">
        <f t="shared" si="0"/>
        <v>0</v>
      </c>
      <c r="F15" s="159">
        <f t="shared" si="0"/>
        <v>0</v>
      </c>
      <c r="G15" s="159">
        <f t="shared" si="0"/>
        <v>0</v>
      </c>
      <c r="H15" s="159">
        <f t="shared" si="0"/>
        <v>0</v>
      </c>
      <c r="I15" s="159">
        <f t="shared" si="0"/>
        <v>-572.68417999999997</v>
      </c>
    </row>
    <row r="16" spans="1:10" s="137" customFormat="1">
      <c r="A16" s="31" t="s">
        <v>57</v>
      </c>
      <c r="D16" s="159">
        <f t="shared" ref="D16:I16" si="1">SUMIF($B:$B,"CN",D:D)</f>
        <v>0</v>
      </c>
      <c r="E16" s="159">
        <f t="shared" si="1"/>
        <v>0</v>
      </c>
      <c r="F16" s="159">
        <f t="shared" si="1"/>
        <v>0</v>
      </c>
      <c r="G16" s="159">
        <f t="shared" si="1"/>
        <v>0</v>
      </c>
      <c r="H16" s="159">
        <f t="shared" si="1"/>
        <v>0</v>
      </c>
      <c r="I16" s="159">
        <f t="shared" si="1"/>
        <v>0</v>
      </c>
    </row>
    <row r="17" spans="1:10" s="137" customFormat="1">
      <c r="A17" s="31" t="s">
        <v>82</v>
      </c>
      <c r="D17" s="159">
        <f t="shared" ref="D17:I17" si="2">SUMIF($B:$B,"SE",D:D)</f>
        <v>13596.926240000001</v>
      </c>
      <c r="E17" s="159">
        <f t="shared" si="2"/>
        <v>0</v>
      </c>
      <c r="F17" s="159">
        <f t="shared" si="2"/>
        <v>13596.926240000001</v>
      </c>
      <c r="G17" s="159">
        <f t="shared" si="2"/>
        <v>0</v>
      </c>
      <c r="H17" s="159">
        <f t="shared" si="2"/>
        <v>0</v>
      </c>
      <c r="I17" s="159">
        <f t="shared" si="2"/>
        <v>0</v>
      </c>
    </row>
    <row r="18" spans="1:10" s="137" customFormat="1">
      <c r="A18" s="31" t="s">
        <v>84</v>
      </c>
      <c r="D18" s="159">
        <f t="shared" ref="D18:I18" si="3">SUMIF($B:$B,"SG",D:D)</f>
        <v>156328.56701999978</v>
      </c>
      <c r="E18" s="159">
        <f t="shared" si="3"/>
        <v>90802.96639999999</v>
      </c>
      <c r="F18" s="159">
        <f t="shared" si="3"/>
        <v>65525.600619999808</v>
      </c>
      <c r="G18" s="159">
        <f t="shared" si="3"/>
        <v>0</v>
      </c>
      <c r="H18" s="159">
        <f t="shared" si="3"/>
        <v>0</v>
      </c>
      <c r="I18" s="159">
        <f t="shared" si="3"/>
        <v>0</v>
      </c>
    </row>
    <row r="19" spans="1:10" s="137" customFormat="1">
      <c r="A19" s="31" t="s">
        <v>89</v>
      </c>
      <c r="D19" s="159">
        <f t="shared" ref="D19:I19" si="4">SUMIF($B:$B,"SO",D:D)</f>
        <v>567.74491999999998</v>
      </c>
      <c r="E19" s="159">
        <f t="shared" si="4"/>
        <v>0</v>
      </c>
      <c r="F19" s="159">
        <f t="shared" si="4"/>
        <v>0</v>
      </c>
      <c r="G19" s="159">
        <f t="shared" si="4"/>
        <v>0</v>
      </c>
      <c r="H19" s="159">
        <f t="shared" si="4"/>
        <v>0</v>
      </c>
      <c r="I19" s="159">
        <f t="shared" si="4"/>
        <v>567.74491999999998</v>
      </c>
    </row>
    <row r="20" spans="1:10" s="137" customFormat="1">
      <c r="A20" s="31" t="s">
        <v>279</v>
      </c>
      <c r="D20" s="159">
        <f t="shared" ref="D20:I20" si="5">SUM(D7:D14)</f>
        <v>169920.55399999977</v>
      </c>
      <c r="E20" s="159">
        <f t="shared" si="5"/>
        <v>90802.96639999999</v>
      </c>
      <c r="F20" s="159">
        <f t="shared" si="5"/>
        <v>79122.526859999809</v>
      </c>
      <c r="G20" s="159">
        <f t="shared" si="5"/>
        <v>0</v>
      </c>
      <c r="H20" s="159">
        <f t="shared" si="5"/>
        <v>0</v>
      </c>
      <c r="I20" s="159">
        <f t="shared" si="5"/>
        <v>-4.9392599999999902</v>
      </c>
    </row>
    <row r="21" spans="1:10" s="31" customFormat="1">
      <c r="A21" s="31" t="s">
        <v>54</v>
      </c>
      <c r="D21" s="237">
        <f t="shared" ref="D21:D26" si="6">SUM(E21:I21)</f>
        <v>1</v>
      </c>
      <c r="E21" s="237">
        <f>E15/$D$15</f>
        <v>0</v>
      </c>
      <c r="F21" s="237">
        <f>F15/$D$15</f>
        <v>0</v>
      </c>
      <c r="G21" s="237">
        <f>G15/$D$15</f>
        <v>0</v>
      </c>
      <c r="H21" s="237">
        <f>H15/$D$15</f>
        <v>0</v>
      </c>
      <c r="I21" s="237">
        <f>I15/$D$15</f>
        <v>1</v>
      </c>
    </row>
    <row r="22" spans="1:10" s="31" customFormat="1">
      <c r="A22" s="31" t="s">
        <v>278</v>
      </c>
      <c r="D22" s="237">
        <f t="shared" si="6"/>
        <v>0</v>
      </c>
      <c r="E22" s="237" t="str">
        <f>IF(ISERROR(E16/$D$16)," ",(E16/$D$16))</f>
        <v xml:space="preserve"> </v>
      </c>
      <c r="F22" s="237" t="str">
        <f>IF(ISERROR(F16/$D$16)," ",(F16/$D$16))</f>
        <v xml:space="preserve"> </v>
      </c>
      <c r="G22" s="237" t="str">
        <f>IF(ISERROR(G16/$D$16)," ",(G16/$D$16))</f>
        <v xml:space="preserve"> </v>
      </c>
      <c r="H22" s="237" t="str">
        <f>IF(ISERROR(H16/$D$16)," ",(H16/$D$16))</f>
        <v xml:space="preserve"> </v>
      </c>
      <c r="I22" s="237" t="str">
        <f>IF(ISERROR(I16/$D$16)," ",(I16/$D$16))</f>
        <v xml:space="preserve"> </v>
      </c>
    </row>
    <row r="23" spans="1:10" s="137" customFormat="1">
      <c r="A23" s="31" t="s">
        <v>207</v>
      </c>
      <c r="D23" s="237">
        <f t="shared" si="6"/>
        <v>1</v>
      </c>
      <c r="E23" s="237">
        <f>E17/$D$17</f>
        <v>0</v>
      </c>
      <c r="F23" s="237">
        <f>F17/$D$17</f>
        <v>1</v>
      </c>
      <c r="G23" s="237">
        <f>G17/$D$17</f>
        <v>0</v>
      </c>
      <c r="H23" s="237">
        <f>H17/$D$17</f>
        <v>0</v>
      </c>
      <c r="I23" s="237">
        <f>I17/$D$17</f>
        <v>0</v>
      </c>
      <c r="J23" s="158"/>
    </row>
    <row r="24" spans="1:10" s="137" customFormat="1">
      <c r="A24" s="31" t="s">
        <v>209</v>
      </c>
      <c r="D24" s="237">
        <f t="shared" si="6"/>
        <v>1</v>
      </c>
      <c r="E24" s="237">
        <f>E18/$D$18</f>
        <v>0.58084691832672641</v>
      </c>
      <c r="F24" s="237">
        <f>F18/$D$18</f>
        <v>0.4191530816732737</v>
      </c>
      <c r="G24" s="237">
        <f>G18/$D$18</f>
        <v>0</v>
      </c>
      <c r="H24" s="237">
        <f>H18/$D$18</f>
        <v>0</v>
      </c>
      <c r="I24" s="237">
        <f>I18/$D$18</f>
        <v>0</v>
      </c>
    </row>
    <row r="25" spans="1:10" s="137" customFormat="1">
      <c r="A25" s="31" t="s">
        <v>213</v>
      </c>
      <c r="D25" s="237">
        <f t="shared" si="6"/>
        <v>1</v>
      </c>
      <c r="E25" s="237">
        <f>E19/$D$19</f>
        <v>0</v>
      </c>
      <c r="F25" s="237">
        <f>F19/$D$19</f>
        <v>0</v>
      </c>
      <c r="G25" s="237">
        <f>G19/$D$19</f>
        <v>0</v>
      </c>
      <c r="H25" s="237">
        <f>H19/$D$19</f>
        <v>0</v>
      </c>
      <c r="I25" s="237">
        <f>I19/$D$19</f>
        <v>1</v>
      </c>
    </row>
    <row r="26" spans="1:10" ht="12.75" customHeight="1">
      <c r="A26" s="31" t="s">
        <v>280</v>
      </c>
      <c r="B26" s="31"/>
      <c r="C26" s="31"/>
      <c r="D26" s="237">
        <f t="shared" si="6"/>
        <v>1</v>
      </c>
      <c r="E26" s="237">
        <f>E20/$D$20</f>
        <v>0.53438483021895111</v>
      </c>
      <c r="F26" s="237">
        <f>F20/$D$20</f>
        <v>0.46564423783599429</v>
      </c>
      <c r="G26" s="237">
        <f>G20/$D$20</f>
        <v>0</v>
      </c>
      <c r="H26" s="237">
        <f>H20/$D$20</f>
        <v>0</v>
      </c>
      <c r="I26" s="237">
        <f>I20/$D$20</f>
        <v>-2.9068054945253984E-5</v>
      </c>
    </row>
    <row r="27" spans="1:10" ht="12.75" customHeight="1">
      <c r="D27" s="9"/>
      <c r="E27" s="9"/>
      <c r="F27" s="9"/>
    </row>
    <row r="28" spans="1:10">
      <c r="C28" s="15"/>
      <c r="D28" s="111" t="s">
        <v>68</v>
      </c>
      <c r="E28" s="110" t="s">
        <v>126</v>
      </c>
      <c r="F28" s="110" t="s">
        <v>127</v>
      </c>
      <c r="G28" s="111" t="s">
        <v>66</v>
      </c>
      <c r="H28" s="111" t="s">
        <v>69</v>
      </c>
      <c r="I28" s="111" t="s">
        <v>70</v>
      </c>
    </row>
    <row r="29" spans="1:10">
      <c r="C29" s="17" t="s">
        <v>64</v>
      </c>
      <c r="D29" s="18">
        <f>SUM(E29:I29)</f>
        <v>1</v>
      </c>
      <c r="E29" s="18">
        <f>'FORM 1'!$C$13</f>
        <v>1</v>
      </c>
      <c r="F29" s="18">
        <f>'FORM 1'!$D$13</f>
        <v>0</v>
      </c>
      <c r="G29" s="18">
        <f>'FORM 1'!$E$13</f>
        <v>0</v>
      </c>
      <c r="H29" s="18">
        <f>'FORM 1'!$F$13</f>
        <v>0</v>
      </c>
      <c r="I29" s="18">
        <f>'FORM 1'!$G$13</f>
        <v>0</v>
      </c>
    </row>
    <row r="30" spans="1:10">
      <c r="C30" s="17" t="s">
        <v>65</v>
      </c>
      <c r="D30" s="18">
        <f t="shared" ref="D30:D35" si="7">SUM(E30:I30)</f>
        <v>1</v>
      </c>
      <c r="E30" s="18">
        <f>'FORM 1'!$C$14</f>
        <v>0</v>
      </c>
      <c r="F30" s="18">
        <f>'FORM 1'!$D$14</f>
        <v>1</v>
      </c>
      <c r="G30" s="18">
        <f>'FORM 1'!$E$14</f>
        <v>0</v>
      </c>
      <c r="H30" s="18">
        <f>'FORM 1'!$F$14</f>
        <v>0</v>
      </c>
      <c r="I30" s="18">
        <f>'FORM 1'!$G$14</f>
        <v>0</v>
      </c>
    </row>
    <row r="31" spans="1:10">
      <c r="C31" s="17" t="s">
        <v>92</v>
      </c>
      <c r="D31" s="18">
        <f t="shared" si="7"/>
        <v>1</v>
      </c>
      <c r="E31" s="18">
        <f>'FORM 1'!$C$18</f>
        <v>0</v>
      </c>
      <c r="F31" s="18">
        <f>'FORM 1'!$D$18</f>
        <v>0.46919188519427402</v>
      </c>
      <c r="G31" s="18">
        <f>'FORM 1'!$E$18</f>
        <v>0.53080811480572609</v>
      </c>
      <c r="H31" s="18">
        <f>'FORM 1'!$F$18</f>
        <v>0</v>
      </c>
      <c r="I31" s="18">
        <f>'FORM 1'!$G$18</f>
        <v>0</v>
      </c>
    </row>
    <row r="32" spans="1:10">
      <c r="C32" s="17" t="s">
        <v>69</v>
      </c>
      <c r="D32" s="18">
        <f t="shared" si="7"/>
        <v>1</v>
      </c>
      <c r="E32" s="18">
        <v>0</v>
      </c>
      <c r="F32" s="18">
        <v>0</v>
      </c>
      <c r="G32" s="18">
        <v>0</v>
      </c>
      <c r="H32" s="18">
        <v>1</v>
      </c>
      <c r="I32" s="18">
        <v>0</v>
      </c>
    </row>
    <row r="33" spans="3:9">
      <c r="C33" s="17" t="s">
        <v>66</v>
      </c>
      <c r="D33" s="18">
        <f t="shared" si="7"/>
        <v>1</v>
      </c>
      <c r="E33" s="18">
        <v>0</v>
      </c>
      <c r="F33" s="18">
        <v>0</v>
      </c>
      <c r="G33" s="18">
        <v>1</v>
      </c>
      <c r="H33" s="18">
        <v>0</v>
      </c>
      <c r="I33" s="18">
        <v>0</v>
      </c>
    </row>
    <row r="34" spans="3:9">
      <c r="C34" s="19" t="s">
        <v>88</v>
      </c>
      <c r="D34" s="18">
        <f t="shared" si="7"/>
        <v>1</v>
      </c>
      <c r="E34" s="18">
        <f>'FORM 1'!$C$16</f>
        <v>0.50462876088753772</v>
      </c>
      <c r="F34" s="18">
        <f>'FORM 1'!$D$16</f>
        <v>0.23242416555019971</v>
      </c>
      <c r="G34" s="18">
        <f>'FORM 1'!$E$16</f>
        <v>0.26294707356226266</v>
      </c>
      <c r="H34" s="18">
        <f>'FORM 1'!$F$16</f>
        <v>0</v>
      </c>
      <c r="I34" s="18">
        <f>'FORM 1'!$G$16</f>
        <v>0</v>
      </c>
    </row>
    <row r="35" spans="3:9">
      <c r="C35" s="10" t="s">
        <v>70</v>
      </c>
      <c r="D35" s="18">
        <f t="shared" si="7"/>
        <v>1</v>
      </c>
      <c r="E35" s="18">
        <v>0</v>
      </c>
      <c r="F35" s="18">
        <v>0</v>
      </c>
      <c r="G35" s="18">
        <v>0</v>
      </c>
      <c r="H35" s="18">
        <v>0</v>
      </c>
      <c r="I35" s="18">
        <v>1</v>
      </c>
    </row>
    <row r="38" spans="3:9">
      <c r="D38" s="105"/>
    </row>
  </sheetData>
  <customSheetViews>
    <customSheetView guid="{20A63875-964B-11D5-AAED-0004762A99E9}" showRuler="0">
      <selection activeCell="A3" sqref="A3:I3"/>
      <rowBreaks count="1" manualBreakCount="1">
        <brk id="40" max="11" man="1"/>
      </rowBreaks>
      <pageMargins left="0.75" right="0.75" top="1" bottom="1" header="0.5" footer="0.5"/>
      <printOptions horizontalCentered="1"/>
      <pageSetup scale="75" orientation="landscape" horizontalDpi="0" r:id="rId1"/>
      <headerFooter alignWithMargins="0">
        <oddFooter>&amp;L&amp;D&amp;C&amp;A Page &amp;P of &amp;N&amp;R&amp;F</oddFooter>
      </headerFooter>
    </customSheetView>
  </customSheetViews>
  <mergeCells count="2">
    <mergeCell ref="A3:I3"/>
    <mergeCell ref="A2:I2"/>
  </mergeCells>
  <phoneticPr fontId="0" type="noConversion"/>
  <printOptions horizontalCentered="1"/>
  <pageMargins left="0.5" right="0.5" top="0.5" bottom="0.65" header="0.4" footer="0.2"/>
  <pageSetup scale="97" orientation="landscape" r:id="rId2"/>
  <headerFooter alignWithMargins="0">
    <oddFooter>&amp;LExhibit RMP_____(CCP-3)&amp;R&amp;F&amp;CTab 3 - Page  7 of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codeName="Sheet13" enableFormatConditionsCalculation="0">
    <pageSetUpPr fitToPage="1"/>
  </sheetPr>
  <dimension ref="A1:J70"/>
  <sheetViews>
    <sheetView defaultGridColor="0" colorId="22" zoomScale="90" zoomScaleNormal="80" workbookViewId="0">
      <selection activeCell="A34" sqref="A34:I38"/>
    </sheetView>
  </sheetViews>
  <sheetFormatPr defaultColWidth="12.5703125" defaultRowHeight="12.75"/>
  <cols>
    <col min="1" max="1" width="24.28515625" style="74" bestFit="1" customWidth="1"/>
    <col min="2" max="2" width="13" style="74" customWidth="1"/>
    <col min="3" max="3" width="10.7109375" style="74" customWidth="1"/>
    <col min="4" max="4" width="20" style="74" customWidth="1"/>
    <col min="5" max="5" width="13.42578125" style="74" bestFit="1" customWidth="1"/>
    <col min="6" max="9" width="13.42578125" style="74" customWidth="1"/>
    <col min="10" max="10" width="18.28515625" style="74" customWidth="1"/>
    <col min="11" max="11" width="10.140625" style="74" customWidth="1"/>
    <col min="12" max="16384" width="12.5703125" style="74"/>
  </cols>
  <sheetData>
    <row r="1" spans="1:10">
      <c r="A1" s="49" t="str">
        <f>+'TOTAL FUNCFAC'!$A$1</f>
        <v>PacifiCorp</v>
      </c>
      <c r="B1" s="72"/>
      <c r="C1" s="72"/>
      <c r="D1" s="72"/>
      <c r="E1" s="72"/>
      <c r="F1" s="72"/>
      <c r="G1" s="72"/>
      <c r="H1" s="73"/>
      <c r="I1" s="73"/>
    </row>
    <row r="2" spans="1:10">
      <c r="A2" s="49" t="str">
        <f>+'TOTAL FUNCFAC'!A2</f>
        <v>12 Months Ended June 2013</v>
      </c>
      <c r="B2" s="72"/>
      <c r="C2" s="72"/>
      <c r="D2" s="72"/>
      <c r="E2" s="72"/>
      <c r="F2" s="72"/>
      <c r="G2" s="72"/>
      <c r="H2" s="73"/>
      <c r="I2" s="73"/>
    </row>
    <row r="3" spans="1:10">
      <c r="A3" s="49" t="s">
        <v>121</v>
      </c>
      <c r="B3" s="72"/>
      <c r="C3" s="72"/>
      <c r="D3" s="72"/>
      <c r="E3" s="72"/>
      <c r="F3" s="72"/>
      <c r="G3" s="72"/>
      <c r="H3" s="73"/>
      <c r="I3" s="73"/>
    </row>
    <row r="4" spans="1:10">
      <c r="B4" s="49"/>
    </row>
    <row r="5" spans="1:10">
      <c r="B5" s="75" t="s">
        <v>115</v>
      </c>
    </row>
    <row r="6" spans="1:10">
      <c r="A6" s="148" t="s">
        <v>91</v>
      </c>
      <c r="B6" s="177" t="s">
        <v>75</v>
      </c>
      <c r="C6" s="177" t="s">
        <v>116</v>
      </c>
      <c r="D6" s="177" t="s">
        <v>77</v>
      </c>
      <c r="E6" s="177" t="s">
        <v>126</v>
      </c>
      <c r="F6" s="177" t="s">
        <v>127</v>
      </c>
      <c r="G6" s="177" t="s">
        <v>66</v>
      </c>
      <c r="H6" s="178" t="s">
        <v>69</v>
      </c>
      <c r="I6" s="178" t="s">
        <v>118</v>
      </c>
      <c r="J6" s="107"/>
    </row>
    <row r="7" spans="1:10" s="147" customFormat="1">
      <c r="A7" s="146" t="s">
        <v>119</v>
      </c>
      <c r="B7" s="175" t="s">
        <v>80</v>
      </c>
      <c r="C7" s="176" t="s">
        <v>69</v>
      </c>
      <c r="D7" s="241">
        <v>24459.392829230725</v>
      </c>
      <c r="E7" s="171">
        <f t="shared" ref="E7:E21" si="0">$D7*VLOOKUP(+$C7,$B$45:$H$51,3)</f>
        <v>0</v>
      </c>
      <c r="F7" s="171">
        <f t="shared" ref="F7:F21" si="1">$D7*VLOOKUP(+$C7,$B$45:$H$51,4)</f>
        <v>0</v>
      </c>
      <c r="G7" s="171">
        <f t="shared" ref="G7:G21" si="2">$D7*VLOOKUP(+$C7,$B$45:$H$51,5)</f>
        <v>0</v>
      </c>
      <c r="H7" s="171">
        <f t="shared" ref="H7:H21" si="3">$D7*VLOOKUP(+$C7,$B$45:$H$51,6)</f>
        <v>24459.392829230725</v>
      </c>
      <c r="I7" s="171">
        <f t="shared" ref="I7:I21" si="4">$D7*VLOOKUP(+$C7,$B$45:$H$51,7)</f>
        <v>0</v>
      </c>
      <c r="J7" s="150"/>
    </row>
    <row r="8" spans="1:10" s="147" customFormat="1">
      <c r="A8" s="146"/>
      <c r="B8" s="175" t="s">
        <v>81</v>
      </c>
      <c r="C8" s="176" t="s">
        <v>64</v>
      </c>
      <c r="D8" s="242">
        <v>789.14308999999867</v>
      </c>
      <c r="E8" s="171">
        <f t="shared" si="0"/>
        <v>789.14308999999867</v>
      </c>
      <c r="F8" s="171">
        <f t="shared" si="1"/>
        <v>0</v>
      </c>
      <c r="G8" s="171">
        <f t="shared" si="2"/>
        <v>0</v>
      </c>
      <c r="H8" s="171">
        <f t="shared" si="3"/>
        <v>0</v>
      </c>
      <c r="I8" s="171">
        <f t="shared" si="4"/>
        <v>0</v>
      </c>
    </row>
    <row r="9" spans="1:10" s="147" customFormat="1">
      <c r="A9" s="146"/>
      <c r="B9" s="149" t="s">
        <v>83</v>
      </c>
      <c r="C9" s="157" t="s">
        <v>64</v>
      </c>
      <c r="D9" s="243">
        <v>114337.63360846155</v>
      </c>
      <c r="E9" s="85">
        <f>$D9*VLOOKUP(+$C9,$B$45:$H$51,3)</f>
        <v>114337.63360846155</v>
      </c>
      <c r="F9" s="85">
        <f t="shared" si="1"/>
        <v>0</v>
      </c>
      <c r="G9" s="85">
        <f t="shared" si="2"/>
        <v>0</v>
      </c>
      <c r="H9" s="85">
        <f t="shared" si="3"/>
        <v>0</v>
      </c>
      <c r="I9" s="85">
        <f t="shared" si="4"/>
        <v>0</v>
      </c>
    </row>
    <row r="10" spans="1:10" s="147" customFormat="1">
      <c r="A10" s="146"/>
      <c r="B10" s="149" t="s">
        <v>83</v>
      </c>
      <c r="C10" s="157" t="s">
        <v>65</v>
      </c>
      <c r="D10" s="242">
        <v>118932.14598384</v>
      </c>
      <c r="E10" s="85">
        <f t="shared" si="0"/>
        <v>0</v>
      </c>
      <c r="F10" s="85">
        <f>$D10*VLOOKUP(+$C10,$B$45:$H$51,4)</f>
        <v>118932.14598384</v>
      </c>
      <c r="G10" s="85">
        <f t="shared" si="2"/>
        <v>0</v>
      </c>
      <c r="H10" s="85">
        <f t="shared" si="3"/>
        <v>0</v>
      </c>
      <c r="I10" s="85">
        <f t="shared" si="4"/>
        <v>0</v>
      </c>
    </row>
    <row r="11" spans="1:10" s="147" customFormat="1">
      <c r="A11" s="146"/>
      <c r="B11" s="175" t="s">
        <v>83</v>
      </c>
      <c r="C11" s="176" t="s">
        <v>92</v>
      </c>
      <c r="D11" s="242">
        <v>0</v>
      </c>
      <c r="E11" s="171">
        <f t="shared" si="0"/>
        <v>0</v>
      </c>
      <c r="F11" s="171">
        <f t="shared" si="1"/>
        <v>0</v>
      </c>
      <c r="G11" s="171">
        <f t="shared" si="2"/>
        <v>0</v>
      </c>
      <c r="H11" s="171">
        <f t="shared" si="3"/>
        <v>0</v>
      </c>
      <c r="I11" s="171">
        <f t="shared" si="4"/>
        <v>0</v>
      </c>
    </row>
    <row r="12" spans="1:10" s="147" customFormat="1">
      <c r="A12" s="146" t="s">
        <v>121</v>
      </c>
      <c r="B12" s="180" t="s">
        <v>85</v>
      </c>
      <c r="C12" s="181" t="s">
        <v>66</v>
      </c>
      <c r="D12" s="244">
        <v>0</v>
      </c>
      <c r="E12" s="182">
        <f t="shared" si="0"/>
        <v>0</v>
      </c>
      <c r="F12" s="182">
        <f t="shared" si="1"/>
        <v>0</v>
      </c>
      <c r="G12" s="182">
        <f t="shared" si="2"/>
        <v>0</v>
      </c>
      <c r="H12" s="182">
        <f t="shared" si="3"/>
        <v>0</v>
      </c>
      <c r="I12" s="182">
        <f t="shared" si="4"/>
        <v>0</v>
      </c>
    </row>
    <row r="13" spans="1:10" s="147" customFormat="1">
      <c r="A13" s="146"/>
      <c r="B13" s="149" t="s">
        <v>85</v>
      </c>
      <c r="C13" s="157" t="s">
        <v>88</v>
      </c>
      <c r="D13" s="245">
        <v>245685.93280461579</v>
      </c>
      <c r="E13" s="85">
        <f t="shared" si="0"/>
        <v>123980.18783869212</v>
      </c>
      <c r="F13" s="85">
        <f t="shared" si="1"/>
        <v>57103.347919535263</v>
      </c>
      <c r="G13" s="85">
        <f t="shared" si="2"/>
        <v>64602.397046388425</v>
      </c>
      <c r="H13" s="85">
        <f t="shared" si="3"/>
        <v>0</v>
      </c>
      <c r="I13" s="85">
        <f t="shared" si="4"/>
        <v>0</v>
      </c>
    </row>
    <row r="14" spans="1:10" s="147" customFormat="1">
      <c r="A14" s="146"/>
      <c r="B14" s="149" t="s">
        <v>85</v>
      </c>
      <c r="C14" s="157" t="s">
        <v>92</v>
      </c>
      <c r="D14" s="245">
        <v>0</v>
      </c>
      <c r="E14" s="85">
        <f t="shared" si="0"/>
        <v>0</v>
      </c>
      <c r="F14" s="85">
        <f t="shared" si="1"/>
        <v>0</v>
      </c>
      <c r="G14" s="85">
        <f t="shared" si="2"/>
        <v>0</v>
      </c>
      <c r="H14" s="85">
        <f t="shared" si="3"/>
        <v>0</v>
      </c>
      <c r="I14" s="85">
        <f t="shared" si="4"/>
        <v>0</v>
      </c>
    </row>
    <row r="15" spans="1:10" s="147" customFormat="1">
      <c r="A15" s="146"/>
      <c r="B15" s="175" t="s">
        <v>85</v>
      </c>
      <c r="C15" s="176" t="s">
        <v>64</v>
      </c>
      <c r="D15" s="242">
        <v>0</v>
      </c>
      <c r="E15" s="171">
        <f t="shared" si="0"/>
        <v>0</v>
      </c>
      <c r="F15" s="171">
        <f t="shared" si="1"/>
        <v>0</v>
      </c>
      <c r="G15" s="171">
        <f t="shared" si="2"/>
        <v>0</v>
      </c>
      <c r="H15" s="171">
        <f t="shared" si="3"/>
        <v>0</v>
      </c>
      <c r="I15" s="171">
        <f t="shared" si="4"/>
        <v>0</v>
      </c>
    </row>
    <row r="16" spans="1:10" s="147" customFormat="1">
      <c r="A16" s="179" t="s">
        <v>232</v>
      </c>
      <c r="B16" s="149" t="s">
        <v>83</v>
      </c>
      <c r="C16" s="157" t="s">
        <v>64</v>
      </c>
      <c r="D16" s="245">
        <v>0</v>
      </c>
      <c r="E16" s="85">
        <f t="shared" si="0"/>
        <v>0</v>
      </c>
      <c r="F16" s="85">
        <f t="shared" si="1"/>
        <v>0</v>
      </c>
      <c r="G16" s="85">
        <f t="shared" si="2"/>
        <v>0</v>
      </c>
      <c r="H16" s="85">
        <f t="shared" si="3"/>
        <v>0</v>
      </c>
      <c r="I16" s="85">
        <f t="shared" si="4"/>
        <v>0</v>
      </c>
    </row>
    <row r="17" spans="1:9" s="147" customFormat="1">
      <c r="A17" s="179" t="s">
        <v>249</v>
      </c>
      <c r="B17" s="149" t="s">
        <v>83</v>
      </c>
      <c r="C17" s="157" t="s">
        <v>66</v>
      </c>
      <c r="D17" s="245">
        <v>0</v>
      </c>
      <c r="E17" s="85">
        <f t="shared" si="0"/>
        <v>0</v>
      </c>
      <c r="F17" s="85">
        <f t="shared" si="1"/>
        <v>0</v>
      </c>
      <c r="G17" s="85">
        <f t="shared" si="2"/>
        <v>0</v>
      </c>
      <c r="H17" s="85">
        <f t="shared" si="3"/>
        <v>0</v>
      </c>
      <c r="I17" s="85">
        <f t="shared" si="4"/>
        <v>0</v>
      </c>
    </row>
    <row r="18" spans="1:9" s="147" customFormat="1">
      <c r="A18" s="179" t="s">
        <v>249</v>
      </c>
      <c r="B18" s="175" t="s">
        <v>83</v>
      </c>
      <c r="C18" s="176" t="s">
        <v>64</v>
      </c>
      <c r="D18" s="242">
        <v>0</v>
      </c>
      <c r="E18" s="171">
        <f t="shared" si="0"/>
        <v>0</v>
      </c>
      <c r="F18" s="171">
        <f t="shared" si="1"/>
        <v>0</v>
      </c>
      <c r="G18" s="171">
        <f t="shared" si="2"/>
        <v>0</v>
      </c>
      <c r="H18" s="171">
        <f t="shared" si="3"/>
        <v>0</v>
      </c>
      <c r="I18" s="171">
        <f t="shared" si="4"/>
        <v>0</v>
      </c>
    </row>
    <row r="19" spans="1:9" s="147" customFormat="1">
      <c r="A19" s="146"/>
      <c r="B19" s="149" t="s">
        <v>12</v>
      </c>
      <c r="C19" s="157" t="s">
        <v>66</v>
      </c>
      <c r="D19" s="245">
        <v>214154.82839923049</v>
      </c>
      <c r="E19" s="85">
        <f t="shared" si="0"/>
        <v>0</v>
      </c>
      <c r="F19" s="85">
        <f t="shared" si="1"/>
        <v>0</v>
      </c>
      <c r="G19" s="85">
        <f t="shared" si="2"/>
        <v>214154.82839923049</v>
      </c>
      <c r="H19" s="85">
        <f t="shared" si="3"/>
        <v>0</v>
      </c>
      <c r="I19" s="85">
        <f t="shared" si="4"/>
        <v>0</v>
      </c>
    </row>
    <row r="20" spans="1:9" s="147" customFormat="1">
      <c r="A20" s="146"/>
      <c r="B20" s="149" t="s">
        <v>12</v>
      </c>
      <c r="C20" s="157" t="s">
        <v>64</v>
      </c>
      <c r="D20" s="245">
        <v>0</v>
      </c>
      <c r="E20" s="85">
        <f t="shared" si="0"/>
        <v>0</v>
      </c>
      <c r="F20" s="85">
        <f t="shared" si="1"/>
        <v>0</v>
      </c>
      <c r="G20" s="85">
        <f t="shared" si="2"/>
        <v>0</v>
      </c>
      <c r="H20" s="85">
        <f t="shared" si="3"/>
        <v>0</v>
      </c>
      <c r="I20" s="85">
        <f t="shared" si="4"/>
        <v>0</v>
      </c>
    </row>
    <row r="21" spans="1:9" s="147" customFormat="1">
      <c r="A21" s="146"/>
      <c r="B21" s="175" t="s">
        <v>12</v>
      </c>
      <c r="C21" s="176" t="s">
        <v>92</v>
      </c>
      <c r="D21" s="242">
        <v>331824.31509999937</v>
      </c>
      <c r="E21" s="171">
        <f t="shared" si="0"/>
        <v>0</v>
      </c>
      <c r="F21" s="171">
        <f t="shared" si="1"/>
        <v>155689.27595506751</v>
      </c>
      <c r="G21" s="171">
        <f t="shared" si="2"/>
        <v>176135.03914493188</v>
      </c>
      <c r="H21" s="171">
        <f t="shared" si="3"/>
        <v>0</v>
      </c>
      <c r="I21" s="171">
        <f t="shared" si="4"/>
        <v>0</v>
      </c>
    </row>
    <row r="22" spans="1:9" s="147" customFormat="1">
      <c r="A22" s="148" t="s">
        <v>284</v>
      </c>
      <c r="B22" s="149"/>
      <c r="C22" s="157"/>
      <c r="D22" s="85">
        <f t="shared" ref="D22:I22" si="5">SUMIF($C:$C,"CUST",D:D)</f>
        <v>24459.392829230725</v>
      </c>
      <c r="E22" s="85">
        <f t="shared" si="5"/>
        <v>0</v>
      </c>
      <c r="F22" s="85">
        <f t="shared" si="5"/>
        <v>0</v>
      </c>
      <c r="G22" s="85">
        <f t="shared" si="5"/>
        <v>0</v>
      </c>
      <c r="H22" s="85">
        <f t="shared" si="5"/>
        <v>24459.392829230725</v>
      </c>
      <c r="I22" s="85">
        <f t="shared" si="5"/>
        <v>0</v>
      </c>
    </row>
    <row r="23" spans="1:9" s="147" customFormat="1">
      <c r="A23" s="148" t="s">
        <v>283</v>
      </c>
      <c r="B23" s="149"/>
      <c r="C23" s="157"/>
      <c r="D23" s="85">
        <f t="shared" ref="D23:I23" si="6">SUMIF($C:$C,"TD",D:D)</f>
        <v>331824.31509999937</v>
      </c>
      <c r="E23" s="85">
        <f t="shared" si="6"/>
        <v>0</v>
      </c>
      <c r="F23" s="85">
        <f t="shared" si="6"/>
        <v>155689.27595506751</v>
      </c>
      <c r="G23" s="85">
        <f t="shared" si="6"/>
        <v>176135.03914493188</v>
      </c>
      <c r="H23" s="85">
        <f t="shared" si="6"/>
        <v>0</v>
      </c>
      <c r="I23" s="85">
        <f t="shared" si="6"/>
        <v>0</v>
      </c>
    </row>
    <row r="24" spans="1:9" s="147" customFormat="1">
      <c r="A24" s="148" t="s">
        <v>282</v>
      </c>
      <c r="B24" s="149"/>
      <c r="C24" s="157"/>
      <c r="D24" s="85">
        <f t="shared" ref="D24:I24" si="7">SUMIF($C:$C,"PTD",D:D)</f>
        <v>245685.93280461579</v>
      </c>
      <c r="E24" s="85">
        <f t="shared" si="7"/>
        <v>123980.18783869212</v>
      </c>
      <c r="F24" s="85">
        <f t="shared" si="7"/>
        <v>57103.347919535263</v>
      </c>
      <c r="G24" s="85">
        <f t="shared" si="7"/>
        <v>64602.397046388425</v>
      </c>
      <c r="H24" s="85">
        <f t="shared" si="7"/>
        <v>0</v>
      </c>
      <c r="I24" s="85">
        <f t="shared" si="7"/>
        <v>0</v>
      </c>
    </row>
    <row r="25" spans="1:9" s="147" customFormat="1">
      <c r="A25" s="148" t="s">
        <v>281</v>
      </c>
      <c r="B25" s="149"/>
      <c r="C25" s="157"/>
      <c r="D25" s="85">
        <f t="shared" ref="D25:I25" si="8">SUMIF($C:$C,"DPW",D:D)</f>
        <v>214154.82839923049</v>
      </c>
      <c r="E25" s="85">
        <f t="shared" si="8"/>
        <v>0</v>
      </c>
      <c r="F25" s="85">
        <f t="shared" si="8"/>
        <v>0</v>
      </c>
      <c r="G25" s="85">
        <f t="shared" si="8"/>
        <v>214154.82839923049</v>
      </c>
      <c r="H25" s="85">
        <f t="shared" si="8"/>
        <v>0</v>
      </c>
      <c r="I25" s="85">
        <f t="shared" si="8"/>
        <v>0</v>
      </c>
    </row>
    <row r="26" spans="1:9" s="147" customFormat="1">
      <c r="A26" s="148" t="s">
        <v>273</v>
      </c>
      <c r="B26" s="146"/>
      <c r="C26" s="146"/>
      <c r="D26" s="85">
        <f t="shared" ref="D26:I26" si="9">SUMIF($B:$B,"SSGCH",D:D)</f>
        <v>0</v>
      </c>
      <c r="E26" s="85">
        <f t="shared" si="9"/>
        <v>0</v>
      </c>
      <c r="F26" s="85">
        <f t="shared" si="9"/>
        <v>0</v>
      </c>
      <c r="G26" s="85">
        <f t="shared" si="9"/>
        <v>0</v>
      </c>
      <c r="H26" s="85">
        <f t="shared" si="9"/>
        <v>0</v>
      </c>
      <c r="I26" s="85">
        <f t="shared" si="9"/>
        <v>0</v>
      </c>
    </row>
    <row r="27" spans="1:9" s="147" customFormat="1">
      <c r="A27" s="148" t="s">
        <v>274</v>
      </c>
      <c r="B27" s="146"/>
      <c r="C27" s="146"/>
      <c r="D27" s="85">
        <f t="shared" ref="D27:I27" si="10">SUMIF($B:$B,"SSGCT",D:D)</f>
        <v>0</v>
      </c>
      <c r="E27" s="85">
        <f t="shared" si="10"/>
        <v>0</v>
      </c>
      <c r="F27" s="85">
        <f t="shared" si="10"/>
        <v>0</v>
      </c>
      <c r="G27" s="85">
        <f t="shared" si="10"/>
        <v>0</v>
      </c>
      <c r="H27" s="85">
        <f t="shared" si="10"/>
        <v>0</v>
      </c>
      <c r="I27" s="85">
        <f t="shared" si="10"/>
        <v>0</v>
      </c>
    </row>
    <row r="28" spans="1:9" s="147" customFormat="1">
      <c r="A28" s="148" t="s">
        <v>275</v>
      </c>
      <c r="B28" s="146"/>
      <c r="C28" s="146"/>
      <c r="D28" s="85">
        <f t="shared" ref="D28:I28" si="11">SUMIF($B:$B,"SG",D:D)</f>
        <v>233269.77959230155</v>
      </c>
      <c r="E28" s="85">
        <f t="shared" si="11"/>
        <v>114337.63360846155</v>
      </c>
      <c r="F28" s="85">
        <f t="shared" si="11"/>
        <v>118932.14598384</v>
      </c>
      <c r="G28" s="85">
        <f t="shared" si="11"/>
        <v>0</v>
      </c>
      <c r="H28" s="85">
        <f t="shared" si="11"/>
        <v>0</v>
      </c>
      <c r="I28" s="85">
        <f t="shared" si="11"/>
        <v>0</v>
      </c>
    </row>
    <row r="29" spans="1:9" s="147" customFormat="1">
      <c r="A29" s="148" t="s">
        <v>287</v>
      </c>
      <c r="B29" s="146"/>
      <c r="C29" s="146"/>
      <c r="D29" s="85">
        <f t="shared" ref="D29:I29" si="12">SUMIF($B:$B,"SE",D:D)</f>
        <v>789.14308999999867</v>
      </c>
      <c r="E29" s="85">
        <f t="shared" si="12"/>
        <v>789.14308999999867</v>
      </c>
      <c r="F29" s="85">
        <f t="shared" si="12"/>
        <v>0</v>
      </c>
      <c r="G29" s="85">
        <f t="shared" si="12"/>
        <v>0</v>
      </c>
      <c r="H29" s="85">
        <f t="shared" si="12"/>
        <v>0</v>
      </c>
      <c r="I29" s="85">
        <f t="shared" si="12"/>
        <v>0</v>
      </c>
    </row>
    <row r="30" spans="1:9" s="147" customFormat="1">
      <c r="A30" s="148" t="s">
        <v>276</v>
      </c>
      <c r="B30" s="146"/>
      <c r="C30" s="146"/>
      <c r="D30" s="85">
        <f t="shared" ref="D30:I30" si="13">SUMIF($B:$B,"SITUS",D:D)</f>
        <v>545979.1434992298</v>
      </c>
      <c r="E30" s="85">
        <f t="shared" si="13"/>
        <v>0</v>
      </c>
      <c r="F30" s="85">
        <f t="shared" si="13"/>
        <v>155689.27595506751</v>
      </c>
      <c r="G30" s="85">
        <f t="shared" si="13"/>
        <v>390289.86754416238</v>
      </c>
      <c r="H30" s="85">
        <f t="shared" si="13"/>
        <v>0</v>
      </c>
      <c r="I30" s="85">
        <f t="shared" si="13"/>
        <v>0</v>
      </c>
    </row>
    <row r="31" spans="1:9" s="147" customFormat="1">
      <c r="A31" s="172" t="s">
        <v>251</v>
      </c>
      <c r="B31" s="173"/>
      <c r="C31" s="173"/>
      <c r="D31" s="174">
        <f t="shared" ref="D31:I31" si="14">SUMIF($B:$B,"SO",D:D)</f>
        <v>245685.93280461579</v>
      </c>
      <c r="E31" s="174">
        <f t="shared" si="14"/>
        <v>123980.18783869212</v>
      </c>
      <c r="F31" s="174">
        <f t="shared" si="14"/>
        <v>57103.347919535263</v>
      </c>
      <c r="G31" s="174">
        <f t="shared" si="14"/>
        <v>64602.397046388425</v>
      </c>
      <c r="H31" s="174">
        <f t="shared" si="14"/>
        <v>0</v>
      </c>
      <c r="I31" s="174">
        <f t="shared" si="14"/>
        <v>0</v>
      </c>
    </row>
    <row r="32" spans="1:9" s="147" customFormat="1">
      <c r="A32" s="148" t="s">
        <v>277</v>
      </c>
      <c r="B32" s="146"/>
      <c r="C32" s="146"/>
      <c r="D32" s="85">
        <f t="shared" ref="D32:I32" si="15">SUM(D7:D21)</f>
        <v>1050183.3918153779</v>
      </c>
      <c r="E32" s="85">
        <f>SUM(E7:E21)</f>
        <v>239106.96453715366</v>
      </c>
      <c r="F32" s="85">
        <f t="shared" si="15"/>
        <v>331724.76985844277</v>
      </c>
      <c r="G32" s="85">
        <f t="shared" si="15"/>
        <v>454892.2645905508</v>
      </c>
      <c r="H32" s="85">
        <f t="shared" si="15"/>
        <v>24459.392829230725</v>
      </c>
      <c r="I32" s="85">
        <f t="shared" si="15"/>
        <v>0</v>
      </c>
    </row>
    <row r="33" spans="1:9" s="147" customFormat="1">
      <c r="A33" s="148"/>
      <c r="B33" s="146"/>
      <c r="C33" s="146"/>
      <c r="D33" s="85"/>
      <c r="E33" s="85"/>
      <c r="F33" s="85"/>
      <c r="G33" s="85"/>
      <c r="H33" s="85"/>
      <c r="I33" s="85"/>
    </row>
    <row r="34" spans="1:9" s="147" customFormat="1">
      <c r="A34" s="148" t="s">
        <v>13</v>
      </c>
      <c r="B34" s="148"/>
      <c r="C34" s="148"/>
      <c r="D34" s="246">
        <f>SUM(E34:I34)</f>
        <v>1</v>
      </c>
      <c r="E34" s="247">
        <f>E28/$D$28</f>
        <v>0.49015193398945944</v>
      </c>
      <c r="F34" s="247">
        <f>F28/$D$28</f>
        <v>0.50984806601054056</v>
      </c>
      <c r="G34" s="247">
        <f>G28/$D$28</f>
        <v>0</v>
      </c>
      <c r="H34" s="247">
        <f>H28/$D$28</f>
        <v>0</v>
      </c>
      <c r="I34" s="247">
        <f>I28/$D$28</f>
        <v>0</v>
      </c>
    </row>
    <row r="35" spans="1:9" s="147" customFormat="1">
      <c r="A35" s="148" t="s">
        <v>299</v>
      </c>
      <c r="B35" s="148"/>
      <c r="C35" s="148"/>
      <c r="D35" s="246">
        <f>SUM(E35:I35)</f>
        <v>1</v>
      </c>
      <c r="E35" s="247">
        <f>E29/$D$29</f>
        <v>1</v>
      </c>
      <c r="F35" s="247">
        <f>F29/$D$29</f>
        <v>0</v>
      </c>
      <c r="G35" s="247">
        <f>G29/$D$29</f>
        <v>0</v>
      </c>
      <c r="H35" s="247">
        <f>H29/$D$29</f>
        <v>0</v>
      </c>
      <c r="I35" s="247">
        <f>I29/$D$29</f>
        <v>0</v>
      </c>
    </row>
    <row r="36" spans="1:9" s="147" customFormat="1">
      <c r="A36" s="148" t="s">
        <v>285</v>
      </c>
      <c r="B36" s="148"/>
      <c r="C36" s="148"/>
      <c r="D36" s="246">
        <f>SUM(E36:I36)</f>
        <v>1.0000000000000002</v>
      </c>
      <c r="E36" s="247">
        <f>E30/$D$30</f>
        <v>0</v>
      </c>
      <c r="F36" s="247">
        <f>F30/$D$30</f>
        <v>0.28515608665422792</v>
      </c>
      <c r="G36" s="247">
        <f>G30/$D$30</f>
        <v>0.71484391334577224</v>
      </c>
      <c r="H36" s="247">
        <f>H30/$D$30</f>
        <v>0</v>
      </c>
      <c r="I36" s="247">
        <f>I30/$D$30</f>
        <v>0</v>
      </c>
    </row>
    <row r="37" spans="1:9" s="147" customFormat="1">
      <c r="A37" s="148" t="s">
        <v>122</v>
      </c>
      <c r="B37" s="148"/>
      <c r="C37" s="148"/>
      <c r="D37" s="246">
        <f>SUM(E37:I37)</f>
        <v>1</v>
      </c>
      <c r="E37" s="247">
        <f>E31/$D$31</f>
        <v>0.50462876088753772</v>
      </c>
      <c r="F37" s="247">
        <f>F31/$D$31</f>
        <v>0.23242416555019971</v>
      </c>
      <c r="G37" s="247">
        <f>G31/$D$31</f>
        <v>0.26294707356226266</v>
      </c>
      <c r="H37" s="247">
        <f>H31/$D$31</f>
        <v>0</v>
      </c>
      <c r="I37" s="247">
        <f>I31/$D$31</f>
        <v>0</v>
      </c>
    </row>
    <row r="38" spans="1:9" s="147" customFormat="1">
      <c r="A38" s="148" t="s">
        <v>124</v>
      </c>
      <c r="B38" s="148"/>
      <c r="C38" s="148"/>
      <c r="D38" s="246">
        <f>SUM(E38:I38)</f>
        <v>1</v>
      </c>
      <c r="E38" s="248">
        <f>E32/$D$32</f>
        <v>0.22768115207366432</v>
      </c>
      <c r="F38" s="248">
        <f>F32/$D$32</f>
        <v>0.31587318219250599</v>
      </c>
      <c r="G38" s="248">
        <f>G32/$D$32</f>
        <v>0.43315507380497675</v>
      </c>
      <c r="H38" s="248">
        <f>H32/$D$32</f>
        <v>2.3290591928853015E-2</v>
      </c>
      <c r="I38" s="248">
        <f>I32/$D$32</f>
        <v>0</v>
      </c>
    </row>
    <row r="39" spans="1:9" s="147" customFormat="1">
      <c r="A39" s="146" t="s">
        <v>86</v>
      </c>
      <c r="C39" s="146"/>
      <c r="D39" s="152">
        <f>D32</f>
        <v>1050183.3918153779</v>
      </c>
    </row>
    <row r="40" spans="1:9" s="147" customFormat="1">
      <c r="A40" s="146" t="s">
        <v>131</v>
      </c>
      <c r="C40" s="146" t="s">
        <v>225</v>
      </c>
      <c r="D40" s="190">
        <f>'GROSS PLANT'!D12</f>
        <v>497190.28672770498</v>
      </c>
      <c r="E40" s="151">
        <f>D29</f>
        <v>789.14308999999867</v>
      </c>
      <c r="F40" s="151">
        <f>SUM(D40+E40)</f>
        <v>497979.42981770501</v>
      </c>
    </row>
    <row r="41" spans="1:9" s="147" customFormat="1">
      <c r="A41" s="146" t="s">
        <v>87</v>
      </c>
      <c r="C41" s="146" t="s">
        <v>64</v>
      </c>
      <c r="D41" s="153">
        <f>SUM(D39:D40)</f>
        <v>1547373.6785430829</v>
      </c>
      <c r="F41" s="151"/>
    </row>
    <row r="42" spans="1:9" s="147" customFormat="1">
      <c r="D42" s="151"/>
    </row>
    <row r="43" spans="1:9" s="147" customFormat="1">
      <c r="D43" s="151"/>
    </row>
    <row r="44" spans="1:9" s="147" customFormat="1">
      <c r="B44" s="146" t="s">
        <v>125</v>
      </c>
      <c r="C44" s="146"/>
      <c r="D44" s="154" t="s">
        <v>126</v>
      </c>
      <c r="E44" s="154" t="s">
        <v>127</v>
      </c>
      <c r="F44" s="155" t="s">
        <v>66</v>
      </c>
      <c r="G44" s="155" t="s">
        <v>69</v>
      </c>
      <c r="H44" s="155" t="s">
        <v>118</v>
      </c>
    </row>
    <row r="45" spans="1:9" s="147" customFormat="1">
      <c r="B45" s="147" t="s">
        <v>64</v>
      </c>
      <c r="C45" s="138">
        <f t="shared" ref="C45:C50" si="16">SUM(D45:H45)</f>
        <v>1</v>
      </c>
      <c r="D45" s="138">
        <f>'FORM 1'!$C$13</f>
        <v>1</v>
      </c>
      <c r="E45" s="138">
        <f>'FORM 1'!$D$13</f>
        <v>0</v>
      </c>
      <c r="F45" s="138">
        <f>'FORM 1'!$E$13</f>
        <v>0</v>
      </c>
      <c r="G45" s="138">
        <f>'FORM 1'!$F$13</f>
        <v>0</v>
      </c>
      <c r="H45" s="138">
        <f>'FORM 1'!$G$13</f>
        <v>0</v>
      </c>
    </row>
    <row r="46" spans="1:9" s="147" customFormat="1">
      <c r="B46" s="147" t="s">
        <v>65</v>
      </c>
      <c r="C46" s="138">
        <f t="shared" si="16"/>
        <v>1</v>
      </c>
      <c r="D46" s="138">
        <f>'FORM 1'!$C$14</f>
        <v>0</v>
      </c>
      <c r="E46" s="138">
        <f>'FORM 1'!$D$14</f>
        <v>1</v>
      </c>
      <c r="F46" s="138">
        <f>'FORM 1'!$E$14</f>
        <v>0</v>
      </c>
      <c r="G46" s="138">
        <f>'FORM 1'!$F$14</f>
        <v>0</v>
      </c>
      <c r="H46" s="138">
        <f>'FORM 1'!$G$14</f>
        <v>0</v>
      </c>
    </row>
    <row r="47" spans="1:9" s="147" customFormat="1">
      <c r="B47" s="147" t="s">
        <v>92</v>
      </c>
      <c r="C47" s="138">
        <f t="shared" si="16"/>
        <v>1</v>
      </c>
      <c r="D47" s="138">
        <f>'FORM 1'!$C$18</f>
        <v>0</v>
      </c>
      <c r="E47" s="138">
        <f>'FORM 1'!$D$18</f>
        <v>0.46919188519427402</v>
      </c>
      <c r="F47" s="138">
        <f>'FORM 1'!$E$18</f>
        <v>0.53080811480572609</v>
      </c>
      <c r="G47" s="138">
        <f>'FORM 1'!$F$18</f>
        <v>0</v>
      </c>
      <c r="H47" s="138">
        <f>'FORM 1'!$G$18</f>
        <v>0</v>
      </c>
    </row>
    <row r="48" spans="1:9" s="147" customFormat="1">
      <c r="B48" s="147" t="s">
        <v>69</v>
      </c>
      <c r="C48" s="138">
        <f t="shared" si="16"/>
        <v>1</v>
      </c>
      <c r="D48" s="138">
        <v>0</v>
      </c>
      <c r="E48" s="138">
        <v>0</v>
      </c>
      <c r="F48" s="138">
        <v>0</v>
      </c>
      <c r="G48" s="138">
        <v>1</v>
      </c>
      <c r="H48" s="138">
        <v>0</v>
      </c>
    </row>
    <row r="49" spans="1:9" s="147" customFormat="1">
      <c r="B49" s="147" t="s">
        <v>66</v>
      </c>
      <c r="C49" s="138">
        <f t="shared" si="16"/>
        <v>1</v>
      </c>
      <c r="D49" s="138">
        <v>0</v>
      </c>
      <c r="E49" s="138">
        <v>0</v>
      </c>
      <c r="F49" s="138">
        <v>1</v>
      </c>
      <c r="G49" s="138">
        <v>0</v>
      </c>
      <c r="H49" s="138">
        <v>0</v>
      </c>
    </row>
    <row r="50" spans="1:9" s="147" customFormat="1">
      <c r="B50" s="156" t="s">
        <v>88</v>
      </c>
      <c r="C50" s="138">
        <f t="shared" si="16"/>
        <v>1</v>
      </c>
      <c r="D50" s="138">
        <f>'FORM 1'!$C$16</f>
        <v>0.50462876088753772</v>
      </c>
      <c r="E50" s="138">
        <f>'FORM 1'!$D$16</f>
        <v>0.23242416555019971</v>
      </c>
      <c r="F50" s="138">
        <f>'FORM 1'!$E$16</f>
        <v>0.26294707356226266</v>
      </c>
      <c r="G50" s="138">
        <f>'FORM 1'!$F$16</f>
        <v>0</v>
      </c>
      <c r="H50" s="138">
        <f>'FORM 1'!$G$16</f>
        <v>0</v>
      </c>
    </row>
    <row r="51" spans="1:9" s="147" customFormat="1">
      <c r="B51" s="156" t="s">
        <v>106</v>
      </c>
      <c r="C51" s="138">
        <f>SUM(D51:H51)</f>
        <v>1</v>
      </c>
      <c r="D51" s="138">
        <f>+'GROSS PLANT'!E43</f>
        <v>0.50485130726490091</v>
      </c>
      <c r="E51" s="138">
        <f>+'GROSS PLANT'!F43</f>
        <v>0.2291041445041237</v>
      </c>
      <c r="F51" s="138">
        <f>+'GROSS PLANT'!G43</f>
        <v>0.2602402184286699</v>
      </c>
      <c r="G51" s="138">
        <f>+'GROSS PLANT'!H43</f>
        <v>5.8043298023055887E-3</v>
      </c>
      <c r="H51" s="138">
        <f>+'GROSS PLANT'!I43</f>
        <v>0</v>
      </c>
    </row>
    <row r="52" spans="1:9" s="147" customFormat="1">
      <c r="A52" s="146"/>
      <c r="B52" s="146"/>
      <c r="C52" s="146"/>
      <c r="D52" s="85"/>
      <c r="E52" s="85"/>
      <c r="F52" s="85"/>
      <c r="G52" s="85"/>
      <c r="H52" s="85"/>
      <c r="I52" s="85"/>
    </row>
    <row r="53" spans="1:9" s="147" customFormat="1">
      <c r="A53" s="146"/>
      <c r="B53" s="146"/>
      <c r="C53" s="146"/>
      <c r="D53" s="85"/>
      <c r="E53" s="85"/>
      <c r="F53" s="85"/>
      <c r="G53" s="85"/>
    </row>
    <row r="54" spans="1:9" s="147" customFormat="1">
      <c r="A54" s="146"/>
      <c r="B54" s="146"/>
      <c r="C54" s="146"/>
      <c r="D54" s="85"/>
      <c r="E54" s="85"/>
      <c r="F54" s="85"/>
      <c r="G54" s="85"/>
    </row>
    <row r="55" spans="1:9" s="147" customFormat="1">
      <c r="A55" s="146"/>
      <c r="B55" s="146"/>
      <c r="C55" s="146"/>
      <c r="D55" s="85"/>
      <c r="E55" s="85"/>
      <c r="F55" s="85"/>
      <c r="G55" s="85"/>
      <c r="H55" s="85"/>
      <c r="I55" s="85"/>
    </row>
    <row r="56" spans="1:9" s="147" customFormat="1">
      <c r="A56" s="146"/>
      <c r="B56" s="146"/>
      <c r="C56" s="146"/>
      <c r="D56" s="85"/>
      <c r="E56" s="85"/>
      <c r="F56" s="85"/>
      <c r="G56" s="85"/>
      <c r="H56" s="85"/>
      <c r="I56" s="85"/>
    </row>
    <row r="57" spans="1:9" s="147" customFormat="1">
      <c r="A57" s="146"/>
      <c r="B57" s="146"/>
      <c r="C57" s="146"/>
      <c r="D57" s="85"/>
      <c r="E57" s="85"/>
      <c r="F57" s="85"/>
      <c r="G57" s="85"/>
    </row>
    <row r="58" spans="1:9" s="147" customFormat="1">
      <c r="A58" s="146"/>
      <c r="E58" s="85"/>
      <c r="F58" s="85"/>
      <c r="G58" s="85"/>
    </row>
    <row r="59" spans="1:9" s="147" customFormat="1">
      <c r="A59" s="146"/>
      <c r="E59" s="85"/>
      <c r="F59" s="85"/>
      <c r="G59" s="85"/>
    </row>
    <row r="60" spans="1:9" s="147" customFormat="1">
      <c r="A60" s="146"/>
      <c r="B60" s="146"/>
      <c r="C60" s="146"/>
      <c r="D60" s="85"/>
      <c r="E60" s="85"/>
      <c r="F60" s="85"/>
      <c r="G60" s="85"/>
    </row>
    <row r="61" spans="1:9" s="147" customFormat="1">
      <c r="A61" s="146"/>
      <c r="B61" s="146"/>
      <c r="C61" s="146"/>
      <c r="D61" s="85"/>
      <c r="E61" s="85"/>
      <c r="F61" s="85"/>
      <c r="G61" s="85"/>
      <c r="H61" s="85"/>
      <c r="I61" s="85"/>
    </row>
    <row r="62" spans="1:9" s="147" customFormat="1">
      <c r="A62" s="146"/>
      <c r="B62" s="146"/>
      <c r="C62" s="146"/>
      <c r="D62" s="85"/>
      <c r="E62" s="85"/>
      <c r="F62" s="85"/>
      <c r="G62" s="85"/>
      <c r="H62" s="85"/>
      <c r="I62" s="85"/>
    </row>
    <row r="63" spans="1:9" s="147" customFormat="1">
      <c r="A63" s="146"/>
      <c r="B63" s="146"/>
      <c r="C63" s="146"/>
      <c r="D63" s="85"/>
      <c r="E63" s="85"/>
      <c r="F63" s="85"/>
      <c r="G63" s="85"/>
    </row>
    <row r="64" spans="1:9" s="147" customFormat="1">
      <c r="D64" s="32"/>
      <c r="E64" s="32"/>
      <c r="F64" s="32"/>
      <c r="G64" s="32"/>
      <c r="H64" s="32"/>
      <c r="I64" s="32"/>
    </row>
    <row r="65" spans="1:9" s="147" customFormat="1">
      <c r="A65" s="146"/>
      <c r="B65" s="146"/>
      <c r="C65" s="146"/>
      <c r="D65" s="85"/>
      <c r="E65" s="85"/>
      <c r="F65" s="85"/>
      <c r="G65" s="85"/>
      <c r="H65" s="85"/>
      <c r="I65" s="85"/>
    </row>
    <row r="66" spans="1:9" s="147" customFormat="1">
      <c r="A66" s="146"/>
      <c r="B66" s="146"/>
      <c r="C66" s="146"/>
      <c r="D66" s="85"/>
      <c r="E66" s="85"/>
      <c r="F66" s="85"/>
      <c r="G66" s="85"/>
    </row>
    <row r="67" spans="1:9" s="147" customFormat="1">
      <c r="D67" s="139"/>
    </row>
    <row r="68" spans="1:9" s="147" customFormat="1"/>
    <row r="69" spans="1:9" s="147" customFormat="1"/>
    <row r="70" spans="1:9">
      <c r="A70" s="147"/>
      <c r="B70" s="147"/>
      <c r="C70" s="147"/>
      <c r="D70" s="147"/>
      <c r="E70" s="147"/>
      <c r="F70" s="147"/>
      <c r="G70" s="147"/>
      <c r="H70" s="147"/>
      <c r="I70" s="147"/>
    </row>
  </sheetData>
  <customSheetViews>
    <customSheetView guid="{20A63875-964B-11D5-AAED-0004762A99E9}" scale="87" colorId="22" fitToPage="1" showRuler="0">
      <selection activeCell="F4" sqref="F4"/>
      <pageMargins left="0.5" right="0.5" top="0.5" bottom="0.5" header="0.5" footer="0.5"/>
      <printOptions horizontalCentered="1"/>
      <pageSetup scale="65" orientation="landscape" r:id="rId1"/>
      <headerFooter alignWithMargins="0">
        <oddFooter>&amp;L&amp;D&amp;C&amp;A&amp;R&amp;F</oddFooter>
      </headerFooter>
    </customSheetView>
  </customSheetViews>
  <phoneticPr fontId="0" type="noConversion"/>
  <printOptions horizontalCentered="1"/>
  <pageMargins left="0.5" right="0.5" top="0.5" bottom="0.56000000000000005" header="0.4" footer="0.2"/>
  <pageSetup scale="84" orientation="landscape" r:id="rId2"/>
  <headerFooter alignWithMargins="0">
    <oddFooter>&amp;LExhibit RMP_____(CCP-3)&amp;R&amp;F&amp;CTab 3 - Page  3 of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codeName="Sheet10" enableFormatConditionsCalculation="0">
    <pageSetUpPr fitToPage="1"/>
  </sheetPr>
  <dimension ref="A1:I45"/>
  <sheetViews>
    <sheetView defaultGridColor="0" colorId="22" zoomScale="90" workbookViewId="0">
      <selection activeCell="C7" sqref="C7:C23"/>
    </sheetView>
  </sheetViews>
  <sheetFormatPr defaultColWidth="12.5703125" defaultRowHeight="12.75"/>
  <cols>
    <col min="1" max="1" width="10" style="45" customWidth="1"/>
    <col min="2" max="2" width="21" style="15" bestFit="1" customWidth="1"/>
    <col min="3" max="8" width="16.7109375" style="15" customWidth="1"/>
    <col min="9" max="9" width="24.42578125" style="15" bestFit="1" customWidth="1"/>
    <col min="10" max="16384" width="12.5703125" style="15"/>
  </cols>
  <sheetData>
    <row r="1" spans="1:9">
      <c r="A1" s="42" t="str">
        <f>+'TOTAL FUNCFAC'!A1</f>
        <v>PacifiCorp</v>
      </c>
      <c r="B1" s="43"/>
      <c r="C1" s="43"/>
      <c r="D1" s="43"/>
      <c r="E1" s="43"/>
      <c r="F1" s="43"/>
      <c r="G1" s="44"/>
      <c r="H1" s="44"/>
    </row>
    <row r="2" spans="1:9">
      <c r="A2" s="42" t="str">
        <f>+'TOTAL FUNCFAC'!A2</f>
        <v>12 Months Ended June 2013</v>
      </c>
      <c r="B2" s="43"/>
      <c r="C2" s="43"/>
      <c r="D2" s="43"/>
      <c r="E2" s="43"/>
      <c r="F2" s="43"/>
      <c r="G2" s="44"/>
      <c r="H2" s="44"/>
    </row>
    <row r="3" spans="1:9">
      <c r="A3" s="42" t="s">
        <v>132</v>
      </c>
      <c r="B3" s="43"/>
      <c r="C3" s="43"/>
      <c r="D3" s="43"/>
      <c r="E3" s="43"/>
      <c r="F3" s="43"/>
      <c r="G3" s="44"/>
      <c r="H3" s="44"/>
    </row>
    <row r="4" spans="1:9">
      <c r="A4" s="112" t="s">
        <v>237</v>
      </c>
      <c r="B4" s="44"/>
      <c r="C4" s="44"/>
      <c r="D4" s="44"/>
      <c r="E4" s="44"/>
      <c r="F4" s="44"/>
      <c r="G4" s="44"/>
      <c r="H4" s="44"/>
    </row>
    <row r="5" spans="1:9">
      <c r="A5" s="45" t="s">
        <v>115</v>
      </c>
    </row>
    <row r="6" spans="1:9">
      <c r="A6" s="46" t="s">
        <v>75</v>
      </c>
      <c r="B6" s="46" t="s">
        <v>116</v>
      </c>
      <c r="C6" s="46" t="s">
        <v>77</v>
      </c>
      <c r="D6" s="46" t="s">
        <v>60</v>
      </c>
      <c r="E6" s="46" t="s">
        <v>117</v>
      </c>
      <c r="F6" s="46" t="s">
        <v>66</v>
      </c>
      <c r="G6" s="47" t="s">
        <v>143</v>
      </c>
      <c r="H6" s="47" t="s">
        <v>70</v>
      </c>
      <c r="I6" s="107"/>
    </row>
    <row r="7" spans="1:9">
      <c r="A7" s="48" t="s">
        <v>80</v>
      </c>
      <c r="B7" s="48" t="s">
        <v>69</v>
      </c>
      <c r="C7" s="231">
        <v>123138.75751846058</v>
      </c>
      <c r="D7" s="83">
        <f t="shared" ref="D7:D23" si="0">$C7*VLOOKUP(+$B7,$B$37:$H$44,3)</f>
        <v>0</v>
      </c>
      <c r="E7" s="83">
        <f t="shared" ref="E7:E23" si="1">$C7*VLOOKUP(+$B7,$B$37:$H$44,4)</f>
        <v>0</v>
      </c>
      <c r="F7" s="83">
        <f t="shared" ref="F7:F23" si="2">$C7*VLOOKUP(+$B7,$B$37:$H$44,5)</f>
        <v>0</v>
      </c>
      <c r="G7" s="83">
        <f t="shared" ref="G7:G23" si="3">$C7*VLOOKUP(+$B7,$B$37:$H$44,6)</f>
        <v>123138.75751846058</v>
      </c>
      <c r="H7" s="83">
        <f t="shared" ref="H7:H23" si="4">$C7*VLOOKUP(+$B7,$B$37:$H$44,7)</f>
        <v>0</v>
      </c>
      <c r="I7" s="108"/>
    </row>
    <row r="8" spans="1:9">
      <c r="A8" s="48" t="s">
        <v>81</v>
      </c>
      <c r="B8" s="48" t="s">
        <v>64</v>
      </c>
      <c r="C8" s="231">
        <v>3673.1403361538428</v>
      </c>
      <c r="D8" s="83">
        <f t="shared" si="0"/>
        <v>3673.1403361538428</v>
      </c>
      <c r="E8" s="83">
        <f t="shared" si="1"/>
        <v>0</v>
      </c>
      <c r="F8" s="83">
        <f t="shared" si="2"/>
        <v>0</v>
      </c>
      <c r="G8" s="83">
        <f t="shared" si="3"/>
        <v>0</v>
      </c>
      <c r="H8" s="83">
        <f t="shared" si="4"/>
        <v>0</v>
      </c>
      <c r="I8" s="108"/>
    </row>
    <row r="9" spans="1:9">
      <c r="A9" s="48" t="s">
        <v>83</v>
      </c>
      <c r="B9" s="48" t="s">
        <v>64</v>
      </c>
      <c r="C9" s="231">
        <v>107473.73700307707</v>
      </c>
      <c r="D9" s="83">
        <f t="shared" si="0"/>
        <v>107473.73700307707</v>
      </c>
      <c r="E9" s="83">
        <f t="shared" si="1"/>
        <v>0</v>
      </c>
      <c r="F9" s="83">
        <f t="shared" si="2"/>
        <v>0</v>
      </c>
      <c r="G9" s="83">
        <f t="shared" si="3"/>
        <v>0</v>
      </c>
      <c r="H9" s="83">
        <f t="shared" si="4"/>
        <v>0</v>
      </c>
      <c r="I9" s="108"/>
    </row>
    <row r="10" spans="1:9">
      <c r="A10" s="48" t="s">
        <v>83</v>
      </c>
      <c r="B10" s="48" t="s">
        <v>65</v>
      </c>
      <c r="C10" s="231">
        <v>46781.315221538251</v>
      </c>
      <c r="D10" s="83">
        <f t="shared" si="0"/>
        <v>0</v>
      </c>
      <c r="E10" s="83">
        <f t="shared" si="1"/>
        <v>46781.315221538251</v>
      </c>
      <c r="F10" s="83">
        <f t="shared" si="2"/>
        <v>0</v>
      </c>
      <c r="G10" s="83">
        <f t="shared" si="3"/>
        <v>0</v>
      </c>
      <c r="H10" s="83">
        <f t="shared" si="4"/>
        <v>0</v>
      </c>
      <c r="I10" s="108"/>
    </row>
    <row r="11" spans="1:9">
      <c r="A11" s="48" t="s">
        <v>83</v>
      </c>
      <c r="B11" s="48" t="s">
        <v>64</v>
      </c>
      <c r="C11" s="231">
        <v>151412.152150771</v>
      </c>
      <c r="D11" s="83">
        <f t="shared" si="0"/>
        <v>151412.152150771</v>
      </c>
      <c r="E11" s="83">
        <f t="shared" si="1"/>
        <v>0</v>
      </c>
      <c r="F11" s="83">
        <f t="shared" si="2"/>
        <v>0</v>
      </c>
      <c r="G11" s="83">
        <f t="shared" si="3"/>
        <v>0</v>
      </c>
      <c r="H11" s="83">
        <f t="shared" si="4"/>
        <v>0</v>
      </c>
      <c r="I11" s="108"/>
    </row>
    <row r="12" spans="1:9">
      <c r="A12" s="48" t="s">
        <v>83</v>
      </c>
      <c r="B12" s="48" t="s">
        <v>64</v>
      </c>
      <c r="C12" s="231">
        <v>9790.3560100000905</v>
      </c>
      <c r="D12" s="83">
        <f t="shared" si="0"/>
        <v>9790.3560100000905</v>
      </c>
      <c r="E12" s="83">
        <f t="shared" si="1"/>
        <v>0</v>
      </c>
      <c r="F12" s="83">
        <f t="shared" si="2"/>
        <v>0</v>
      </c>
      <c r="G12" s="83">
        <f t="shared" si="3"/>
        <v>0</v>
      </c>
      <c r="H12" s="83">
        <f t="shared" si="4"/>
        <v>0</v>
      </c>
      <c r="I12" s="108"/>
    </row>
    <row r="13" spans="1:9">
      <c r="A13" s="48" t="s">
        <v>85</v>
      </c>
      <c r="B13" s="48" t="s">
        <v>69</v>
      </c>
      <c r="C13" s="231">
        <v>7766.7506399999802</v>
      </c>
      <c r="D13" s="83">
        <f t="shared" si="0"/>
        <v>0</v>
      </c>
      <c r="E13" s="83">
        <f t="shared" si="1"/>
        <v>0</v>
      </c>
      <c r="F13" s="83">
        <f t="shared" si="2"/>
        <v>0</v>
      </c>
      <c r="G13" s="83">
        <f t="shared" si="3"/>
        <v>7766.7506399999802</v>
      </c>
      <c r="H13" s="83">
        <f t="shared" si="4"/>
        <v>0</v>
      </c>
      <c r="I13" s="108"/>
    </row>
    <row r="14" spans="1:9">
      <c r="A14" s="48" t="s">
        <v>85</v>
      </c>
      <c r="B14" s="48" t="s">
        <v>66</v>
      </c>
      <c r="C14" s="231">
        <v>23999.956919999979</v>
      </c>
      <c r="D14" s="83">
        <f t="shared" si="0"/>
        <v>0</v>
      </c>
      <c r="E14" s="83">
        <f t="shared" si="1"/>
        <v>0</v>
      </c>
      <c r="F14" s="83">
        <f t="shared" si="2"/>
        <v>23999.956919999979</v>
      </c>
      <c r="G14" s="83">
        <f t="shared" si="3"/>
        <v>0</v>
      </c>
      <c r="H14" s="83">
        <f t="shared" si="4"/>
        <v>0</v>
      </c>
      <c r="I14" s="108"/>
    </row>
    <row r="15" spans="1:9">
      <c r="A15" s="48" t="s">
        <v>85</v>
      </c>
      <c r="B15" s="48" t="s">
        <v>64</v>
      </c>
      <c r="C15" s="231">
        <v>27555.937561538398</v>
      </c>
      <c r="D15" s="83">
        <f t="shared" si="0"/>
        <v>27555.937561538398</v>
      </c>
      <c r="E15" s="83">
        <f t="shared" si="1"/>
        <v>0</v>
      </c>
      <c r="F15" s="83">
        <f t="shared" si="2"/>
        <v>0</v>
      </c>
      <c r="G15" s="83">
        <f t="shared" si="3"/>
        <v>0</v>
      </c>
      <c r="H15" s="83">
        <f t="shared" si="4"/>
        <v>0</v>
      </c>
      <c r="I15" s="108"/>
    </row>
    <row r="16" spans="1:9">
      <c r="A16" s="48" t="s">
        <v>85</v>
      </c>
      <c r="B16" s="48" t="s">
        <v>88</v>
      </c>
      <c r="C16" s="231">
        <v>298871.71313000139</v>
      </c>
      <c r="D16" s="83">
        <f t="shared" si="0"/>
        <v>150819.26226112823</v>
      </c>
      <c r="E16" s="83">
        <f t="shared" si="1"/>
        <v>69465.008530799241</v>
      </c>
      <c r="F16" s="83">
        <f t="shared" si="2"/>
        <v>78587.442338073932</v>
      </c>
      <c r="G16" s="83">
        <f t="shared" si="3"/>
        <v>0</v>
      </c>
      <c r="H16" s="83">
        <f t="shared" si="4"/>
        <v>0</v>
      </c>
      <c r="I16" s="108"/>
    </row>
    <row r="17" spans="1:9">
      <c r="A17" s="48" t="s">
        <v>85</v>
      </c>
      <c r="B17" s="48" t="s">
        <v>92</v>
      </c>
      <c r="C17" s="231">
        <v>12740.982959999901</v>
      </c>
      <c r="D17" s="83">
        <f t="shared" si="0"/>
        <v>0</v>
      </c>
      <c r="E17" s="83">
        <f t="shared" si="1"/>
        <v>5977.9658142304752</v>
      </c>
      <c r="F17" s="83">
        <f t="shared" si="2"/>
        <v>6763.0171457694278</v>
      </c>
      <c r="G17" s="83">
        <f t="shared" si="3"/>
        <v>0</v>
      </c>
      <c r="H17" s="83">
        <f t="shared" si="4"/>
        <v>0</v>
      </c>
      <c r="I17" s="108"/>
    </row>
    <row r="18" spans="1:9">
      <c r="A18" s="48" t="s">
        <v>85</v>
      </c>
      <c r="B18" s="48" t="s">
        <v>98</v>
      </c>
      <c r="C18" s="231">
        <v>0</v>
      </c>
      <c r="D18" s="83">
        <f t="shared" si="0"/>
        <v>0</v>
      </c>
      <c r="E18" s="83">
        <f t="shared" si="1"/>
        <v>0</v>
      </c>
      <c r="F18" s="83">
        <f t="shared" si="2"/>
        <v>0</v>
      </c>
      <c r="G18" s="83">
        <f t="shared" si="3"/>
        <v>0</v>
      </c>
      <c r="H18" s="83">
        <f t="shared" si="4"/>
        <v>0</v>
      </c>
      <c r="I18" s="108"/>
    </row>
    <row r="19" spans="1:9">
      <c r="A19" s="48" t="s">
        <v>85</v>
      </c>
      <c r="B19" s="48" t="s">
        <v>70</v>
      </c>
      <c r="C19" s="231">
        <v>0</v>
      </c>
      <c r="D19" s="83">
        <f t="shared" si="0"/>
        <v>0</v>
      </c>
      <c r="E19" s="83">
        <f t="shared" si="1"/>
        <v>0</v>
      </c>
      <c r="F19" s="83">
        <f t="shared" si="2"/>
        <v>0</v>
      </c>
      <c r="G19" s="83">
        <f t="shared" si="3"/>
        <v>0</v>
      </c>
      <c r="H19" s="83">
        <f t="shared" si="4"/>
        <v>0</v>
      </c>
      <c r="I19" s="108"/>
    </row>
    <row r="20" spans="1:9">
      <c r="A20" s="48" t="s">
        <v>12</v>
      </c>
      <c r="B20" s="191" t="s">
        <v>66</v>
      </c>
      <c r="C20" s="231">
        <v>168.43489461538459</v>
      </c>
      <c r="D20" s="83">
        <f t="shared" si="0"/>
        <v>0</v>
      </c>
      <c r="E20" s="83">
        <f t="shared" si="1"/>
        <v>0</v>
      </c>
      <c r="F20" s="83">
        <f>$C20*VLOOKUP(+$B20,$B$37:$H$44,5)</f>
        <v>168.43489461538459</v>
      </c>
      <c r="G20" s="83">
        <f t="shared" si="3"/>
        <v>0</v>
      </c>
      <c r="H20" s="83">
        <f t="shared" si="4"/>
        <v>0</v>
      </c>
      <c r="I20" s="108"/>
    </row>
    <row r="21" spans="1:9">
      <c r="A21" s="48" t="s">
        <v>12</v>
      </c>
      <c r="B21" s="48" t="s">
        <v>88</v>
      </c>
      <c r="C21" s="231">
        <v>462.55360999999999</v>
      </c>
      <c r="D21" s="83">
        <f t="shared" si="0"/>
        <v>233.41785505835736</v>
      </c>
      <c r="E21" s="83">
        <f t="shared" si="1"/>
        <v>107.50863682648252</v>
      </c>
      <c r="F21" s="83">
        <f t="shared" si="2"/>
        <v>121.62711811516014</v>
      </c>
      <c r="G21" s="83">
        <f t="shared" si="3"/>
        <v>0</v>
      </c>
      <c r="H21" s="83">
        <f t="shared" si="4"/>
        <v>0</v>
      </c>
      <c r="I21" s="108"/>
    </row>
    <row r="22" spans="1:9">
      <c r="A22" s="48" t="s">
        <v>12</v>
      </c>
      <c r="B22" s="191" t="s">
        <v>65</v>
      </c>
      <c r="C22" s="231">
        <v>530.80893000000003</v>
      </c>
      <c r="D22" s="83">
        <f t="shared" si="0"/>
        <v>0</v>
      </c>
      <c r="E22" s="83">
        <f t="shared" si="1"/>
        <v>530.80893000000003</v>
      </c>
      <c r="F22" s="83">
        <f t="shared" si="2"/>
        <v>0</v>
      </c>
      <c r="G22" s="83">
        <f t="shared" si="3"/>
        <v>0</v>
      </c>
      <c r="H22" s="83">
        <f t="shared" si="4"/>
        <v>0</v>
      </c>
      <c r="I22" s="108"/>
    </row>
    <row r="23" spans="1:9">
      <c r="A23" s="48" t="s">
        <v>12</v>
      </c>
      <c r="B23" s="48" t="s">
        <v>92</v>
      </c>
      <c r="C23" s="231">
        <v>12241.300966153825</v>
      </c>
      <c r="D23" s="83">
        <f t="shared" si="0"/>
        <v>0</v>
      </c>
      <c r="E23" s="83">
        <f t="shared" si="1"/>
        <v>5743.5190775402016</v>
      </c>
      <c r="F23" s="83">
        <f t="shared" si="2"/>
        <v>6497.7818886136256</v>
      </c>
      <c r="G23" s="83">
        <f t="shared" si="3"/>
        <v>0</v>
      </c>
      <c r="H23" s="83">
        <f t="shared" si="4"/>
        <v>0</v>
      </c>
      <c r="I23" s="108"/>
    </row>
    <row r="24" spans="1:9">
      <c r="A24" s="135" t="s">
        <v>270</v>
      </c>
      <c r="B24" s="8"/>
      <c r="C24" s="32">
        <f t="shared" ref="C24:H24" si="5">SUMIF($A:$A,"SG-P",C:C)</f>
        <v>0</v>
      </c>
      <c r="D24" s="32">
        <f t="shared" si="5"/>
        <v>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</row>
    <row r="25" spans="1:9">
      <c r="A25" s="136" t="s">
        <v>271</v>
      </c>
      <c r="B25" s="76"/>
      <c r="C25" s="32">
        <f t="shared" ref="C25:H25" si="6">SUMIF($A:$A,"SG-U",C:C)</f>
        <v>0</v>
      </c>
      <c r="D25" s="32">
        <f t="shared" si="6"/>
        <v>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</row>
    <row r="26" spans="1:9">
      <c r="A26" s="136" t="s">
        <v>259</v>
      </c>
      <c r="B26" s="48"/>
      <c r="C26" s="32">
        <f>SUMIF($A:$A,"SG",C:C)</f>
        <v>315457.56038538646</v>
      </c>
      <c r="D26" s="32">
        <f t="shared" ref="D26:H26" si="7">SUMIF($A:$A,"SG",D:D)</f>
        <v>268676.24516384816</v>
      </c>
      <c r="E26" s="32">
        <f t="shared" si="7"/>
        <v>46781.315221538251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45"/>
    </row>
    <row r="27" spans="1:9">
      <c r="A27" s="136" t="s">
        <v>256</v>
      </c>
      <c r="B27" s="48"/>
      <c r="C27" s="32">
        <f t="shared" ref="C27:H27" si="8">SUMIF($A:$A,"SITUS",C:C)</f>
        <v>13403.09840076921</v>
      </c>
      <c r="D27" s="32">
        <f>SUMIF($A:$A,"SITUS",D:D)</f>
        <v>233.41785505835736</v>
      </c>
      <c r="E27" s="32">
        <f t="shared" si="8"/>
        <v>6381.8366443666837</v>
      </c>
      <c r="F27" s="32">
        <f t="shared" si="8"/>
        <v>6787.8439013441703</v>
      </c>
      <c r="G27" s="32">
        <f t="shared" si="8"/>
        <v>0</v>
      </c>
      <c r="H27" s="32">
        <f t="shared" si="8"/>
        <v>0</v>
      </c>
      <c r="I27" s="45"/>
    </row>
    <row r="28" spans="1:9">
      <c r="A28" s="136" t="s">
        <v>272</v>
      </c>
      <c r="B28" s="48"/>
      <c r="C28" s="32">
        <f>SUM(C7:C23)</f>
        <v>826607.89785230975</v>
      </c>
      <c r="D28" s="32">
        <f>SUM(D7:D23)</f>
        <v>450958.00317772699</v>
      </c>
      <c r="E28" s="32">
        <f t="shared" ref="E28:H28" si="9">SUM(E7:E23)</f>
        <v>128606.12621093464</v>
      </c>
      <c r="F28" s="32">
        <f>SUM(F7:F23)</f>
        <v>116138.2603051875</v>
      </c>
      <c r="G28" s="32">
        <f t="shared" si="9"/>
        <v>130905.50815846057</v>
      </c>
      <c r="H28" s="32">
        <f t="shared" si="9"/>
        <v>0</v>
      </c>
      <c r="I28" s="45"/>
    </row>
    <row r="29" spans="1:9" hidden="1">
      <c r="A29" s="249" t="s">
        <v>16</v>
      </c>
      <c r="B29" s="249"/>
      <c r="C29" s="246" t="e">
        <f>SUM(D29:H29)</f>
        <v>#DIV/0!</v>
      </c>
      <c r="D29" s="247" t="e">
        <f>D24/$C$24</f>
        <v>#DIV/0!</v>
      </c>
      <c r="E29" s="247" t="e">
        <f>E24/$C$24</f>
        <v>#DIV/0!</v>
      </c>
      <c r="F29" s="247" t="e">
        <f>F24/$C$24</f>
        <v>#DIV/0!</v>
      </c>
      <c r="G29" s="247" t="e">
        <f>G24/$C$24</f>
        <v>#DIV/0!</v>
      </c>
      <c r="H29" s="247" t="e">
        <f>H24/$C$24</f>
        <v>#DIV/0!</v>
      </c>
      <c r="I29" s="45"/>
    </row>
    <row r="30" spans="1:9" hidden="1">
      <c r="A30" s="249" t="s">
        <v>17</v>
      </c>
      <c r="B30" s="249"/>
      <c r="C30" s="246" t="e">
        <f>SUM(D30:H30)</f>
        <v>#DIV/0!</v>
      </c>
      <c r="D30" s="247" t="e">
        <f>D25/$C$25</f>
        <v>#DIV/0!</v>
      </c>
      <c r="E30" s="247" t="e">
        <f>E25/$C$25</f>
        <v>#DIV/0!</v>
      </c>
      <c r="F30" s="247" t="e">
        <f>F25/$C$25</f>
        <v>#DIV/0!</v>
      </c>
      <c r="G30" s="247" t="e">
        <f>G25/$C$25</f>
        <v>#DIV/0!</v>
      </c>
      <c r="H30" s="247" t="e">
        <f>H25/$C$25</f>
        <v>#DIV/0!</v>
      </c>
    </row>
    <row r="31" spans="1:9">
      <c r="A31" s="249" t="s">
        <v>18</v>
      </c>
      <c r="B31" s="249"/>
      <c r="C31" s="246">
        <f>SUM(D31:H31)</f>
        <v>0.99999999999999978</v>
      </c>
      <c r="D31" s="247">
        <f>D26/$C$26</f>
        <v>0.85170329991651883</v>
      </c>
      <c r="E31" s="247">
        <f>E26/$C$26</f>
        <v>0.148296700083481</v>
      </c>
      <c r="F31" s="247">
        <f>F26/$C$26</f>
        <v>0</v>
      </c>
      <c r="G31" s="247">
        <f>G26/$C$26</f>
        <v>0</v>
      </c>
      <c r="H31" s="247">
        <f>H26/$C$26</f>
        <v>0</v>
      </c>
    </row>
    <row r="32" spans="1:9">
      <c r="A32" s="249" t="s">
        <v>19</v>
      </c>
      <c r="B32" s="249"/>
      <c r="C32" s="246">
        <f>SUM(D32:H32)</f>
        <v>1</v>
      </c>
      <c r="D32" s="247">
        <f>D27/$C$27</f>
        <v>1.7415216099955024E-2</v>
      </c>
      <c r="E32" s="247">
        <f>E27/$C$27</f>
        <v>0.47614636955887957</v>
      </c>
      <c r="F32" s="247">
        <f>F27/$C$27</f>
        <v>0.50643841434116554</v>
      </c>
      <c r="G32" s="247">
        <f>G27/$C$27</f>
        <v>0</v>
      </c>
      <c r="H32" s="247">
        <f>H27/$C$27</f>
        <v>0</v>
      </c>
    </row>
    <row r="33" spans="1:9">
      <c r="A33" s="250" t="s">
        <v>269</v>
      </c>
      <c r="B33" s="250"/>
      <c r="C33" s="246">
        <f>SUM(D33:H33)</f>
        <v>1</v>
      </c>
      <c r="D33" s="247">
        <f>D28/$C$28</f>
        <v>0.54555249756190904</v>
      </c>
      <c r="E33" s="247">
        <f>E28/$C$28</f>
        <v>0.15558298746609936</v>
      </c>
      <c r="F33" s="247">
        <f>F28/$C$28</f>
        <v>0.14049981933022609</v>
      </c>
      <c r="G33" s="247">
        <f>G28/$C$28</f>
        <v>0.15836469564176545</v>
      </c>
      <c r="H33" s="247">
        <f>H28/$C$28</f>
        <v>0</v>
      </c>
    </row>
    <row r="34" spans="1:9">
      <c r="A34" s="96"/>
      <c r="B34" s="143"/>
      <c r="C34" s="84"/>
      <c r="D34" s="84"/>
      <c r="E34" s="84"/>
      <c r="F34" s="84"/>
      <c r="G34" s="84"/>
      <c r="H34" s="144"/>
      <c r="I34" s="45"/>
    </row>
    <row r="36" spans="1:9">
      <c r="A36" s="15"/>
      <c r="B36" s="145" t="s">
        <v>125</v>
      </c>
      <c r="D36" s="16" t="s">
        <v>126</v>
      </c>
      <c r="E36" s="16" t="s">
        <v>127</v>
      </c>
      <c r="F36" s="16" t="s">
        <v>66</v>
      </c>
      <c r="G36" s="16" t="s">
        <v>69</v>
      </c>
      <c r="H36" s="16" t="s">
        <v>70</v>
      </c>
    </row>
    <row r="37" spans="1:9">
      <c r="B37" s="17" t="s">
        <v>64</v>
      </c>
      <c r="C37" s="18">
        <f t="shared" ref="C37:C43" si="10">SUM(D37:H37)</f>
        <v>1</v>
      </c>
      <c r="D37" s="18">
        <f>'FORM 1'!$C$13</f>
        <v>1</v>
      </c>
      <c r="E37" s="18">
        <f>'FORM 1'!$D$13</f>
        <v>0</v>
      </c>
      <c r="F37" s="18">
        <f>'FORM 1'!$E$13</f>
        <v>0</v>
      </c>
      <c r="G37" s="18">
        <f>'FORM 1'!$F$13</f>
        <v>0</v>
      </c>
      <c r="H37" s="18">
        <f>'FORM 1'!$G$13</f>
        <v>0</v>
      </c>
    </row>
    <row r="38" spans="1:9">
      <c r="B38" s="17" t="s">
        <v>65</v>
      </c>
      <c r="C38" s="18">
        <f t="shared" si="10"/>
        <v>1</v>
      </c>
      <c r="D38" s="18">
        <f>'FORM 1'!$C$14</f>
        <v>0</v>
      </c>
      <c r="E38" s="18">
        <f>'FORM 1'!$D$14</f>
        <v>1</v>
      </c>
      <c r="F38" s="18">
        <f>'FORM 1'!$E$14</f>
        <v>0</v>
      </c>
      <c r="G38" s="18">
        <f>'FORM 1'!$F$14</f>
        <v>0</v>
      </c>
      <c r="H38" s="18">
        <f>'FORM 1'!$G$14</f>
        <v>0</v>
      </c>
    </row>
    <row r="39" spans="1:9">
      <c r="B39" s="17" t="s">
        <v>92</v>
      </c>
      <c r="C39" s="18">
        <f t="shared" si="10"/>
        <v>1</v>
      </c>
      <c r="D39" s="18">
        <f>'FORM 1'!$C$18</f>
        <v>0</v>
      </c>
      <c r="E39" s="18">
        <f>'FORM 1'!$D$18</f>
        <v>0.46919188519427402</v>
      </c>
      <c r="F39" s="18">
        <f>'FORM 1'!$E$18</f>
        <v>0.53080811480572609</v>
      </c>
      <c r="G39" s="18">
        <f>'FORM 1'!$F$18</f>
        <v>0</v>
      </c>
      <c r="H39" s="18">
        <f>'FORM 1'!$G$18</f>
        <v>0</v>
      </c>
    </row>
    <row r="40" spans="1:9">
      <c r="B40" s="17" t="s">
        <v>69</v>
      </c>
      <c r="C40" s="18">
        <f t="shared" si="10"/>
        <v>1</v>
      </c>
      <c r="D40" s="18">
        <v>0</v>
      </c>
      <c r="E40" s="18">
        <v>0</v>
      </c>
      <c r="F40" s="18">
        <v>0</v>
      </c>
      <c r="G40" s="18">
        <v>1</v>
      </c>
      <c r="H40" s="18">
        <v>0</v>
      </c>
    </row>
    <row r="41" spans="1:9">
      <c r="B41" s="17" t="s">
        <v>66</v>
      </c>
      <c r="C41" s="18">
        <f t="shared" si="10"/>
        <v>1</v>
      </c>
      <c r="D41" s="18">
        <v>0</v>
      </c>
      <c r="E41" s="18">
        <v>0</v>
      </c>
      <c r="F41" s="18">
        <v>1</v>
      </c>
      <c r="G41" s="18">
        <v>0</v>
      </c>
      <c r="H41" s="18">
        <v>0</v>
      </c>
    </row>
    <row r="42" spans="1:9">
      <c r="B42" s="19" t="s">
        <v>88</v>
      </c>
      <c r="C42" s="18">
        <f t="shared" si="10"/>
        <v>1</v>
      </c>
      <c r="D42" s="18">
        <f>'FORM 1'!$C$16</f>
        <v>0.50462876088753772</v>
      </c>
      <c r="E42" s="18">
        <f>'FORM 1'!$D$16</f>
        <v>0.23242416555019971</v>
      </c>
      <c r="F42" s="18">
        <f>'FORM 1'!$E$16</f>
        <v>0.26294707356226266</v>
      </c>
      <c r="G42" s="18">
        <f>'FORM 1'!$F$16</f>
        <v>0</v>
      </c>
      <c r="H42" s="18">
        <f>'FORM 1'!$G$16</f>
        <v>0</v>
      </c>
    </row>
    <row r="43" spans="1:9">
      <c r="B43" s="19" t="s">
        <v>70</v>
      </c>
      <c r="C43" s="18">
        <f t="shared" si="10"/>
        <v>1</v>
      </c>
      <c r="D43" s="18">
        <f>'TOTAL FUNCFAC'!C16</f>
        <v>0</v>
      </c>
      <c r="E43" s="18">
        <f>'TOTAL FUNCFAC'!D16</f>
        <v>0</v>
      </c>
      <c r="F43" s="18">
        <f>'TOTAL FUNCFAC'!E16</f>
        <v>0</v>
      </c>
      <c r="G43" s="18">
        <f>'TOTAL FUNCFAC'!F16</f>
        <v>0</v>
      </c>
      <c r="H43" s="18">
        <f>'TOTAL FUNCFAC'!G16</f>
        <v>1</v>
      </c>
    </row>
    <row r="44" spans="1:9">
      <c r="B44" s="15" t="s">
        <v>98</v>
      </c>
      <c r="C44" s="18">
        <f>SUM(D44:H44)</f>
        <v>1</v>
      </c>
      <c r="D44" s="18">
        <f>'SCH M'!F148</f>
        <v>0.44037754002527002</v>
      </c>
      <c r="E44" s="18">
        <f>'SCH M'!G148</f>
        <v>7.3398818350960335E-2</v>
      </c>
      <c r="F44" s="18">
        <f>'SCH M'!H148</f>
        <v>0.34017577812492666</v>
      </c>
      <c r="G44" s="18">
        <f>'SCH M'!I148</f>
        <v>0.14604786349884299</v>
      </c>
      <c r="H44" s="18">
        <f>'SCH M'!J148</f>
        <v>0</v>
      </c>
    </row>
    <row r="45" spans="1:9">
      <c r="B45" s="105"/>
    </row>
  </sheetData>
  <customSheetViews>
    <customSheetView guid="{20A63875-964B-11D5-AAED-0004762A99E9}" scale="87" colorId="22" fitToPage="1" showRuler="0">
      <selection activeCell="D8" sqref="D8"/>
      <pageMargins left="0.5" right="0.5" top="0.5" bottom="0.75" header="0.5" footer="0.5"/>
      <printOptions horizontalCentered="1"/>
      <pageSetup scale="69" orientation="landscape" r:id="rId1"/>
      <headerFooter alignWithMargins="0">
        <oddFooter>&amp;L&amp;D&amp;C&amp;A&amp;R&amp;F</oddFooter>
      </headerFooter>
    </customSheetView>
  </customSheetViews>
  <phoneticPr fontId="0" type="noConversion"/>
  <printOptions horizontalCentered="1"/>
  <pageMargins left="0.5" right="0.5" top="0.5" bottom="0.65" header="0.4" footer="0.2"/>
  <pageSetup scale="99" orientation="landscape" r:id="rId2"/>
  <headerFooter alignWithMargins="0">
    <oddFooter>&amp;LExhibit RMP_____(CCP-3)&amp;R&amp;F&amp;CTab 3 - Page  5 of 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 enableFormatConditionsCalculation="0">
    <pageSetUpPr fitToPage="1"/>
  </sheetPr>
  <dimension ref="A1:L167"/>
  <sheetViews>
    <sheetView zoomScale="80" zoomScaleNormal="80" workbookViewId="0">
      <selection activeCell="E11" sqref="E11"/>
    </sheetView>
  </sheetViews>
  <sheetFormatPr defaultRowHeight="12.75"/>
  <cols>
    <col min="1" max="1" width="19.7109375" style="40" customWidth="1"/>
    <col min="2" max="2" width="14.28515625" style="40" customWidth="1"/>
    <col min="3" max="3" width="12" style="40" customWidth="1"/>
    <col min="4" max="4" width="13.7109375" style="40" customWidth="1"/>
    <col min="5" max="5" width="15.7109375" style="40" customWidth="1"/>
    <col min="6" max="6" width="15" style="40" bestFit="1" customWidth="1"/>
    <col min="7" max="10" width="15.7109375" style="40" customWidth="1"/>
    <col min="11" max="11" width="6.85546875" style="40" customWidth="1"/>
    <col min="12" max="12" width="12.42578125" style="40" bestFit="1" customWidth="1"/>
    <col min="13" max="16384" width="9.140625" style="40"/>
  </cols>
  <sheetData>
    <row r="1" spans="1:12">
      <c r="B1" s="29" t="str">
        <f>+'TOTAL FUNCFAC'!A1</f>
        <v>PacifiCorp</v>
      </c>
      <c r="C1" s="29"/>
      <c r="D1" s="223"/>
      <c r="E1" s="223"/>
      <c r="F1" s="29"/>
      <c r="G1" s="29"/>
      <c r="H1" s="29"/>
      <c r="I1" s="29"/>
      <c r="J1" s="29"/>
      <c r="L1" s="223"/>
    </row>
    <row r="2" spans="1:12">
      <c r="B2" s="30" t="str">
        <f>+'TOTAL FUNCFAC'!A2</f>
        <v>12 Months Ended June 2013</v>
      </c>
      <c r="C2" s="29"/>
      <c r="D2" s="223"/>
      <c r="E2" s="223"/>
      <c r="F2" s="29"/>
      <c r="G2" s="29"/>
      <c r="H2" s="29"/>
      <c r="I2" s="29"/>
      <c r="J2" s="29"/>
      <c r="L2" s="223"/>
    </row>
    <row r="3" spans="1:12">
      <c r="B3" s="29" t="s">
        <v>230</v>
      </c>
      <c r="C3" s="29"/>
      <c r="D3" s="223"/>
      <c r="E3" s="223"/>
      <c r="F3" s="29"/>
      <c r="G3" s="29"/>
      <c r="H3" s="29"/>
      <c r="I3" s="29"/>
      <c r="J3" s="29"/>
      <c r="L3" s="223"/>
    </row>
    <row r="4" spans="1:12">
      <c r="B4" s="25" t="s">
        <v>73</v>
      </c>
      <c r="C4" s="25" t="s">
        <v>5</v>
      </c>
      <c r="L4" s="251"/>
    </row>
    <row r="5" spans="1:12">
      <c r="B5" s="23" t="s">
        <v>74</v>
      </c>
      <c r="C5" s="23" t="s">
        <v>75</v>
      </c>
      <c r="D5" s="23" t="s">
        <v>76</v>
      </c>
      <c r="E5" s="24" t="s">
        <v>77</v>
      </c>
      <c r="F5" s="24" t="s">
        <v>60</v>
      </c>
      <c r="G5" s="24" t="s">
        <v>61</v>
      </c>
      <c r="H5" s="24" t="s">
        <v>103</v>
      </c>
      <c r="I5" s="24" t="s">
        <v>104</v>
      </c>
      <c r="J5" s="24" t="s">
        <v>105</v>
      </c>
      <c r="L5" s="252"/>
    </row>
    <row r="6" spans="1:12" ht="20.100000000000001" customHeight="1">
      <c r="B6" s="253" t="s">
        <v>234</v>
      </c>
      <c r="C6" s="223"/>
      <c r="D6" s="223"/>
      <c r="E6" s="223"/>
      <c r="F6" s="223"/>
      <c r="G6" s="223"/>
      <c r="H6" s="223"/>
      <c r="I6" s="223"/>
      <c r="J6" s="223"/>
    </row>
    <row r="7" spans="1:12">
      <c r="A7" s="40" t="str">
        <f>IF(C7="","",B7&amp;"-"&amp;C7)</f>
        <v>SCHMAP-SCHMDEXP</v>
      </c>
      <c r="B7" s="199" t="s">
        <v>144</v>
      </c>
      <c r="C7" s="193" t="s">
        <v>10</v>
      </c>
      <c r="D7" s="193" t="s">
        <v>98</v>
      </c>
      <c r="E7" s="238">
        <v>13.84925</v>
      </c>
      <c r="F7" s="238">
        <f>VLOOKUP($D7,$D$143:$J$154,3,FALSE)*$E7</f>
        <v>6.0988986461949706</v>
      </c>
      <c r="G7" s="238">
        <f>VLOOKUP($D7,$D$143:$J$154,4,FALSE)*$E7</f>
        <v>1.0165185850470373</v>
      </c>
      <c r="H7" s="238">
        <f>VLOOKUP($D7,$D$143:$J$154,5,FALSE)*$E7</f>
        <v>4.7111793951966403</v>
      </c>
      <c r="I7" s="238">
        <f>VLOOKUP($D7,$D$143:$J$154,6,FALSE)*$E7</f>
        <v>2.0226533735613512</v>
      </c>
      <c r="J7" s="238">
        <f>VLOOKUP($D7,$D$143:$J$154,7,FALSE)*$E7</f>
        <v>0</v>
      </c>
      <c r="L7" s="254"/>
    </row>
    <row r="8" spans="1:12">
      <c r="A8" s="40" t="str">
        <f>IF(C8="","",B8&amp;"-"&amp;C8)</f>
        <v>SCHMAP-SE</v>
      </c>
      <c r="B8" s="199" t="s">
        <v>144</v>
      </c>
      <c r="C8" s="193" t="s">
        <v>81</v>
      </c>
      <c r="D8" s="193" t="s">
        <v>64</v>
      </c>
      <c r="E8" s="238">
        <v>-2961.1170000000002</v>
      </c>
      <c r="F8" s="238">
        <f>VLOOKUP($D8,$D$143:$J$154,3,FALSE)*$E8</f>
        <v>-2961.1170000000002</v>
      </c>
      <c r="G8" s="238">
        <f>VLOOKUP($D8,$D$143:$J$154,4,FALSE)*$E8</f>
        <v>0</v>
      </c>
      <c r="H8" s="238">
        <f>VLOOKUP($D8,$D$143:$J$154,5,FALSE)*$E8</f>
        <v>0</v>
      </c>
      <c r="I8" s="238">
        <f>VLOOKUP($D8,$D$143:$J$154,6,FALSE)*$E8</f>
        <v>0</v>
      </c>
      <c r="J8" s="238">
        <f>VLOOKUP($D8,$D$143:$J$154,7,FALSE)*$E8</f>
        <v>0</v>
      </c>
      <c r="L8" s="254"/>
    </row>
    <row r="9" spans="1:12">
      <c r="A9" s="40" t="str">
        <f>IF(C9="","",B9&amp;"-"&amp;C9)</f>
        <v>SCHMAP-OTHER</v>
      </c>
      <c r="B9" s="199" t="s">
        <v>144</v>
      </c>
      <c r="C9" s="193" t="s">
        <v>288</v>
      </c>
      <c r="D9" s="193" t="s">
        <v>64</v>
      </c>
      <c r="E9" s="255">
        <v>3.0350000000000001</v>
      </c>
      <c r="F9" s="238">
        <f>VLOOKUP($D9,$D$143:$J$154,3,FALSE)*$E9</f>
        <v>3.0350000000000001</v>
      </c>
      <c r="G9" s="238">
        <f>VLOOKUP($D9,$D$143:$J$154,4,FALSE)*$E9</f>
        <v>0</v>
      </c>
      <c r="H9" s="238">
        <f>VLOOKUP($D9,$D$143:$J$154,5,FALSE)*$E9</f>
        <v>0</v>
      </c>
      <c r="I9" s="238">
        <f>VLOOKUP($D9,$D$143:$J$154,6,FALSE)*$E9</f>
        <v>0</v>
      </c>
      <c r="J9" s="238">
        <f>VLOOKUP($D9,$D$143:$J$154,7,FALSE)*$E9</f>
        <v>0</v>
      </c>
      <c r="L9" s="254"/>
    </row>
    <row r="10" spans="1:12">
      <c r="A10" s="40" t="str">
        <f>IF(C10="","",B10&amp;"-"&amp;C10)</f>
        <v>SCHMAP-SO</v>
      </c>
      <c r="B10" s="199" t="s">
        <v>144</v>
      </c>
      <c r="C10" s="193" t="s">
        <v>85</v>
      </c>
      <c r="D10" s="193" t="s">
        <v>98</v>
      </c>
      <c r="E10" s="255">
        <v>301.17373999999995</v>
      </c>
      <c r="F10" s="238">
        <f>VLOOKUP($D10,$D$143:$J$154,3,FALSE)*$E10</f>
        <v>132.63015074141023</v>
      </c>
      <c r="G10" s="238">
        <f>VLOOKUP($D10,$D$143:$J$154,4,FALSE)*$E10</f>
        <v>22.105796634339352</v>
      </c>
      <c r="H10" s="238">
        <f>VLOOKUP($D10,$D$143:$J$154,5,FALSE)*$E10</f>
        <v>102.45201135529433</v>
      </c>
      <c r="I10" s="238">
        <f>VLOOKUP($D10,$D$143:$J$154,6,FALSE)*$E10</f>
        <v>43.985781268956025</v>
      </c>
      <c r="J10" s="238">
        <f>VLOOKUP($D10,$D$143:$J$154,7,FALSE)*$E10</f>
        <v>0</v>
      </c>
      <c r="L10" s="199"/>
    </row>
    <row r="11" spans="1:12">
      <c r="A11" s="40" t="str">
        <f>IF(C11="","",B11&amp;"-"&amp;C11)</f>
        <v>SCHMAP-SO</v>
      </c>
      <c r="B11" s="199" t="s">
        <v>144</v>
      </c>
      <c r="C11" s="193" t="s">
        <v>85</v>
      </c>
      <c r="D11" s="193" t="s">
        <v>88</v>
      </c>
      <c r="E11" s="238">
        <v>-1567.7400000000002</v>
      </c>
      <c r="F11" s="238">
        <f>VLOOKUP($D11,$D$143:$J$154,3,FALSE)*$E11</f>
        <v>-791.12669359382846</v>
      </c>
      <c r="G11" s="238">
        <f>VLOOKUP($D11,$D$143:$J$154,4,FALSE)*$E11</f>
        <v>-364.38066129967012</v>
      </c>
      <c r="H11" s="238">
        <f>VLOOKUP($D11,$D$143:$J$154,5,FALSE)*$E11</f>
        <v>-412.23264510650171</v>
      </c>
      <c r="I11" s="238">
        <f>VLOOKUP($D11,$D$143:$J$154,6,FALSE)*$E11</f>
        <v>0</v>
      </c>
      <c r="J11" s="238">
        <f>VLOOKUP($D11,$D$143:$J$154,7,FALSE)*$E11</f>
        <v>0</v>
      </c>
      <c r="L11" s="199"/>
    </row>
    <row r="12" spans="1:12">
      <c r="B12" s="199"/>
      <c r="C12" s="199"/>
      <c r="D12" s="199"/>
      <c r="E12" s="256"/>
      <c r="F12" s="238"/>
      <c r="G12" s="238"/>
      <c r="H12" s="238"/>
      <c r="I12" s="238"/>
      <c r="J12" s="238"/>
      <c r="L12" s="199"/>
    </row>
    <row r="13" spans="1:12">
      <c r="A13" s="40" t="str">
        <f>IF(C13="","",B13&amp;"-"&amp;C13)</f>
        <v/>
      </c>
      <c r="B13" s="135" t="s">
        <v>251</v>
      </c>
      <c r="E13" s="238">
        <f t="shared" ref="E13:J13" si="0">SUMIF($A:$A,"SCHMAP-SO",E:E)</f>
        <v>-1266.5662600000003</v>
      </c>
      <c r="F13" s="238">
        <f t="shared" si="0"/>
        <v>-658.4965428524182</v>
      </c>
      <c r="G13" s="238">
        <f t="shared" si="0"/>
        <v>-342.27486466533077</v>
      </c>
      <c r="H13" s="238">
        <f t="shared" si="0"/>
        <v>-309.78063375120735</v>
      </c>
      <c r="I13" s="238">
        <f t="shared" si="0"/>
        <v>43.985781268956025</v>
      </c>
      <c r="J13" s="238">
        <f t="shared" si="0"/>
        <v>0</v>
      </c>
    </row>
    <row r="14" spans="1:12">
      <c r="A14" s="40" t="str">
        <f>IF(C14="","",B14&amp;"-"&amp;C14)</f>
        <v/>
      </c>
      <c r="B14" s="136" t="s">
        <v>145</v>
      </c>
      <c r="C14" s="198"/>
      <c r="D14" s="198"/>
      <c r="E14" s="238">
        <f t="shared" ref="E14:J14" si="1">SUMIF($B:$B,"SCHMAP",E:E)</f>
        <v>-4210.7990100000006</v>
      </c>
      <c r="F14" s="238">
        <f t="shared" si="1"/>
        <v>-3610.4796442062238</v>
      </c>
      <c r="G14" s="238">
        <f t="shared" si="1"/>
        <v>-341.25834608028373</v>
      </c>
      <c r="H14" s="238">
        <f t="shared" si="1"/>
        <v>-305.06945435601074</v>
      </c>
      <c r="I14" s="238">
        <f t="shared" si="1"/>
        <v>46.008434642517379</v>
      </c>
      <c r="J14" s="238">
        <f t="shared" si="1"/>
        <v>0</v>
      </c>
    </row>
    <row r="15" spans="1:12">
      <c r="A15" s="40" t="str">
        <f>IF(C15="","",B15&amp;"-"&amp;C15)</f>
        <v/>
      </c>
      <c r="B15" s="136" t="s">
        <v>22</v>
      </c>
      <c r="C15" s="136"/>
      <c r="D15" s="198"/>
      <c r="E15" s="236">
        <f>SUM(F15:J15)</f>
        <v>1.0000000000000002</v>
      </c>
      <c r="F15" s="237">
        <f t="shared" ref="F15:J16" si="2">IF(ISERROR(F13/$E13)," ",(F13/$E13))</f>
        <v>0.51990690392496175</v>
      </c>
      <c r="G15" s="237">
        <f t="shared" si="2"/>
        <v>0.27023841979284263</v>
      </c>
      <c r="H15" s="237">
        <f t="shared" si="2"/>
        <v>0.24458304593650496</v>
      </c>
      <c r="I15" s="237">
        <f t="shared" si="2"/>
        <v>-3.4728369654309296E-2</v>
      </c>
      <c r="J15" s="237">
        <f t="shared" si="2"/>
        <v>0</v>
      </c>
    </row>
    <row r="16" spans="1:12">
      <c r="A16" s="40" t="str">
        <f>IF(C16="","",B16&amp;"-"&amp;C16)</f>
        <v/>
      </c>
      <c r="B16" s="136" t="s">
        <v>146</v>
      </c>
      <c r="C16" s="136"/>
      <c r="D16" s="198"/>
      <c r="E16" s="236">
        <f>SUM(F16:J16)</f>
        <v>1.0000000000000002</v>
      </c>
      <c r="F16" s="237">
        <f t="shared" si="2"/>
        <v>0.8574333839330468</v>
      </c>
      <c r="G16" s="237">
        <f t="shared" si="2"/>
        <v>8.1043608414898827E-2</v>
      </c>
      <c r="H16" s="237">
        <f t="shared" si="2"/>
        <v>7.2449303239484397E-2</v>
      </c>
      <c r="I16" s="237">
        <f t="shared" si="2"/>
        <v>-1.0926295587429942E-2</v>
      </c>
      <c r="J16" s="237">
        <f t="shared" si="2"/>
        <v>0</v>
      </c>
    </row>
    <row r="17" spans="1:10">
      <c r="B17" s="257"/>
      <c r="C17" s="257"/>
      <c r="D17" s="198"/>
      <c r="E17" s="258"/>
      <c r="F17" s="259"/>
      <c r="G17" s="259"/>
      <c r="H17" s="259"/>
      <c r="I17" s="259"/>
      <c r="J17" s="259"/>
    </row>
    <row r="18" spans="1:10">
      <c r="A18" s="40" t="str">
        <f t="shared" ref="A18:A48" si="3">IF(C18="","",B18&amp;"-"&amp;C18)</f>
        <v>SCHMAT-CIAC</v>
      </c>
      <c r="B18" s="199" t="s">
        <v>147</v>
      </c>
      <c r="C18" s="193" t="s">
        <v>148</v>
      </c>
      <c r="D18" s="193" t="s">
        <v>66</v>
      </c>
      <c r="E18" s="238">
        <v>41421.381000000001</v>
      </c>
      <c r="F18" s="238">
        <f t="shared" ref="F18:F50" si="4">VLOOKUP($D18,$D$143:$J$154,3,FALSE)*$E18</f>
        <v>0</v>
      </c>
      <c r="G18" s="238">
        <f t="shared" ref="G18:G50" si="5">VLOOKUP($D18,$D$143:$J$154,4,FALSE)*$E18</f>
        <v>0</v>
      </c>
      <c r="H18" s="238">
        <f t="shared" ref="H18:H50" si="6">VLOOKUP($D18,$D$143:$J$154,5,FALSE)*$E18</f>
        <v>41421.381000000001</v>
      </c>
      <c r="I18" s="238">
        <f t="shared" ref="I18:I50" si="7">VLOOKUP($D18,$D$143:$J$154,6,FALSE)*$E18</f>
        <v>0</v>
      </c>
      <c r="J18" s="238">
        <f t="shared" ref="J18:J50" si="8">VLOOKUP($D18,$D$143:$J$154,7,FALSE)*$E18</f>
        <v>0</v>
      </c>
    </row>
    <row r="19" spans="1:10">
      <c r="A19" s="40" t="str">
        <f t="shared" si="3"/>
        <v>SCHMAT-BADDEBT</v>
      </c>
      <c r="B19" s="199" t="s">
        <v>147</v>
      </c>
      <c r="C19" s="193" t="s">
        <v>8</v>
      </c>
      <c r="D19" s="193" t="s">
        <v>69</v>
      </c>
      <c r="E19" s="238">
        <v>-2759.7470027597401</v>
      </c>
      <c r="F19" s="238">
        <f t="shared" si="4"/>
        <v>0</v>
      </c>
      <c r="G19" s="238">
        <f t="shared" si="5"/>
        <v>0</v>
      </c>
      <c r="H19" s="238">
        <f t="shared" si="6"/>
        <v>0</v>
      </c>
      <c r="I19" s="238">
        <f t="shared" si="7"/>
        <v>-2759.7470027597401</v>
      </c>
      <c r="J19" s="238">
        <f t="shared" si="8"/>
        <v>0</v>
      </c>
    </row>
    <row r="20" spans="1:10">
      <c r="A20" s="40" t="str">
        <f t="shared" si="3"/>
        <v>SCHMAT-GPS</v>
      </c>
      <c r="B20" s="199" t="s">
        <v>147</v>
      </c>
      <c r="C20" s="193" t="s">
        <v>9</v>
      </c>
      <c r="D20" s="193" t="s">
        <v>106</v>
      </c>
      <c r="E20" s="238">
        <v>-4546.4170000000004</v>
      </c>
      <c r="F20" s="238">
        <f t="shared" si="4"/>
        <v>-2295.2645658213692</v>
      </c>
      <c r="G20" s="238">
        <f t="shared" si="5"/>
        <v>-1041.6029773440046</v>
      </c>
      <c r="H20" s="238">
        <f t="shared" si="6"/>
        <v>-1183.1605531478183</v>
      </c>
      <c r="I20" s="238">
        <f t="shared" si="7"/>
        <v>-26.388903686808771</v>
      </c>
      <c r="J20" s="238">
        <f t="shared" si="8"/>
        <v>0</v>
      </c>
    </row>
    <row r="21" spans="1:10">
      <c r="A21" s="40" t="str">
        <f t="shared" si="3"/>
        <v>SCHMAT-SCHMDEXP</v>
      </c>
      <c r="B21" s="199" t="s">
        <v>147</v>
      </c>
      <c r="C21" s="193" t="s">
        <v>10</v>
      </c>
      <c r="D21" s="193" t="s">
        <v>106</v>
      </c>
      <c r="E21" s="256">
        <v>693101.46799999999</v>
      </c>
      <c r="F21" s="238">
        <f t="shared" si="4"/>
        <v>349913.18218702188</v>
      </c>
      <c r="G21" s="238">
        <f t="shared" si="5"/>
        <v>158792.41888069228</v>
      </c>
      <c r="H21" s="238">
        <f t="shared" si="6"/>
        <v>180372.87742555176</v>
      </c>
      <c r="I21" s="238">
        <f t="shared" si="7"/>
        <v>4022.9895067341531</v>
      </c>
      <c r="J21" s="238">
        <f t="shared" si="8"/>
        <v>0</v>
      </c>
    </row>
    <row r="22" spans="1:10">
      <c r="A22" s="40" t="str">
        <f t="shared" ref="A22" si="9">IF(C22="","",B22&amp;"-"&amp;C22)</f>
        <v>SCHMAT-SE</v>
      </c>
      <c r="B22" s="199" t="s">
        <v>147</v>
      </c>
      <c r="C22" s="193" t="s">
        <v>81</v>
      </c>
      <c r="D22" s="193" t="s">
        <v>98</v>
      </c>
      <c r="E22" s="256">
        <v>0</v>
      </c>
      <c r="F22" s="238">
        <f t="shared" si="4"/>
        <v>0</v>
      </c>
      <c r="G22" s="238">
        <f t="shared" si="5"/>
        <v>0</v>
      </c>
      <c r="H22" s="238">
        <f t="shared" si="6"/>
        <v>0</v>
      </c>
      <c r="I22" s="238">
        <f t="shared" si="7"/>
        <v>0</v>
      </c>
      <c r="J22" s="238">
        <f t="shared" si="8"/>
        <v>0</v>
      </c>
    </row>
    <row r="23" spans="1:10">
      <c r="A23" s="40" t="str">
        <f t="shared" si="3"/>
        <v>SCHMAT-SE</v>
      </c>
      <c r="B23" s="199" t="s">
        <v>147</v>
      </c>
      <c r="C23" s="193" t="s">
        <v>81</v>
      </c>
      <c r="D23" s="193" t="s">
        <v>64</v>
      </c>
      <c r="E23" s="256">
        <v>20024.524000000001</v>
      </c>
      <c r="F23" s="238">
        <f t="shared" si="4"/>
        <v>20024.524000000001</v>
      </c>
      <c r="G23" s="238">
        <f t="shared" si="5"/>
        <v>0</v>
      </c>
      <c r="H23" s="238">
        <f t="shared" si="6"/>
        <v>0</v>
      </c>
      <c r="I23" s="238">
        <f t="shared" si="7"/>
        <v>0</v>
      </c>
      <c r="J23" s="238">
        <f t="shared" si="8"/>
        <v>0</v>
      </c>
    </row>
    <row r="24" spans="1:10">
      <c r="A24" s="40" t="str">
        <f t="shared" si="3"/>
        <v>SCHMAT-SG</v>
      </c>
      <c r="B24" s="199" t="s">
        <v>147</v>
      </c>
      <c r="C24" s="193" t="s">
        <v>83</v>
      </c>
      <c r="D24" s="193" t="s">
        <v>66</v>
      </c>
      <c r="E24" s="256">
        <v>0</v>
      </c>
      <c r="F24" s="238">
        <f t="shared" si="4"/>
        <v>0</v>
      </c>
      <c r="G24" s="238">
        <f t="shared" si="5"/>
        <v>0</v>
      </c>
      <c r="H24" s="238">
        <f t="shared" si="6"/>
        <v>0</v>
      </c>
      <c r="I24" s="238">
        <f t="shared" si="7"/>
        <v>0</v>
      </c>
      <c r="J24" s="238">
        <f t="shared" si="8"/>
        <v>0</v>
      </c>
    </row>
    <row r="25" spans="1:10">
      <c r="A25" s="40" t="str">
        <f t="shared" ref="A25" si="10">IF(C25="","",B25&amp;"-"&amp;C25)</f>
        <v>SCHMAT-SG</v>
      </c>
      <c r="B25" s="199" t="s">
        <v>147</v>
      </c>
      <c r="C25" s="193" t="s">
        <v>83</v>
      </c>
      <c r="D25" s="193" t="s">
        <v>64</v>
      </c>
      <c r="E25" s="256">
        <v>2159.5720000000001</v>
      </c>
      <c r="F25" s="238">
        <f t="shared" si="4"/>
        <v>2159.5720000000001</v>
      </c>
      <c r="G25" s="238">
        <f t="shared" si="5"/>
        <v>0</v>
      </c>
      <c r="H25" s="238">
        <f t="shared" si="6"/>
        <v>0</v>
      </c>
      <c r="I25" s="238">
        <f t="shared" si="7"/>
        <v>0</v>
      </c>
      <c r="J25" s="238">
        <f t="shared" si="8"/>
        <v>0</v>
      </c>
    </row>
    <row r="26" spans="1:10">
      <c r="A26" s="40" t="str">
        <f t="shared" si="3"/>
        <v>SCHMAT-SG</v>
      </c>
      <c r="B26" s="199" t="s">
        <v>147</v>
      </c>
      <c r="C26" s="193" t="s">
        <v>83</v>
      </c>
      <c r="D26" s="193" t="s">
        <v>65</v>
      </c>
      <c r="E26" s="256">
        <v>0</v>
      </c>
      <c r="F26" s="238">
        <f t="shared" si="4"/>
        <v>0</v>
      </c>
      <c r="G26" s="238">
        <f t="shared" si="5"/>
        <v>0</v>
      </c>
      <c r="H26" s="238">
        <f t="shared" si="6"/>
        <v>0</v>
      </c>
      <c r="I26" s="238">
        <f t="shared" si="7"/>
        <v>0</v>
      </c>
      <c r="J26" s="238">
        <f t="shared" si="8"/>
        <v>0</v>
      </c>
    </row>
    <row r="27" spans="1:10">
      <c r="A27" s="40" t="str">
        <f t="shared" si="3"/>
        <v>SCHMAT-SGCT</v>
      </c>
      <c r="B27" s="199" t="s">
        <v>147</v>
      </c>
      <c r="C27" s="193" t="s">
        <v>95</v>
      </c>
      <c r="D27" s="193" t="s">
        <v>64</v>
      </c>
      <c r="E27" s="256">
        <v>1683.6379999999999</v>
      </c>
      <c r="F27" s="238">
        <f t="shared" si="4"/>
        <v>1683.6379999999999</v>
      </c>
      <c r="G27" s="238">
        <f t="shared" si="5"/>
        <v>0</v>
      </c>
      <c r="H27" s="238">
        <f t="shared" si="6"/>
        <v>0</v>
      </c>
      <c r="I27" s="238">
        <f t="shared" si="7"/>
        <v>0</v>
      </c>
      <c r="J27" s="238">
        <f t="shared" si="8"/>
        <v>0</v>
      </c>
    </row>
    <row r="28" spans="1:10">
      <c r="A28" s="40" t="str">
        <f t="shared" si="3"/>
        <v>SCHMAT-SNP</v>
      </c>
      <c r="B28" s="199" t="s">
        <v>147</v>
      </c>
      <c r="C28" s="193" t="s">
        <v>7</v>
      </c>
      <c r="D28" s="193" t="s">
        <v>106</v>
      </c>
      <c r="E28" s="256">
        <v>1006.599</v>
      </c>
      <c r="F28" s="238">
        <f t="shared" si="4"/>
        <v>508.18282104154201</v>
      </c>
      <c r="G28" s="238">
        <f t="shared" si="5"/>
        <v>230.61600275370643</v>
      </c>
      <c r="H28" s="238">
        <f t="shared" si="6"/>
        <v>261.95754363008069</v>
      </c>
      <c r="I28" s="238">
        <f t="shared" si="7"/>
        <v>5.8426325746710033</v>
      </c>
      <c r="J28" s="238">
        <f t="shared" si="8"/>
        <v>0</v>
      </c>
    </row>
    <row r="29" spans="1:10">
      <c r="A29" s="40" t="str">
        <f t="shared" si="3"/>
        <v>SCHMAT-SNP</v>
      </c>
      <c r="B29" s="199" t="s">
        <v>147</v>
      </c>
      <c r="C29" s="193" t="s">
        <v>7</v>
      </c>
      <c r="D29" s="193" t="s">
        <v>88</v>
      </c>
      <c r="E29" s="256">
        <v>51503.046000000002</v>
      </c>
      <c r="F29" s="238">
        <f t="shared" si="4"/>
        <v>25989.918284913856</v>
      </c>
      <c r="G29" s="238">
        <f t="shared" si="5"/>
        <v>11970.552489843551</v>
      </c>
      <c r="H29" s="238">
        <f t="shared" si="6"/>
        <v>13542.575225242597</v>
      </c>
      <c r="I29" s="238">
        <f t="shared" si="7"/>
        <v>0</v>
      </c>
      <c r="J29" s="238">
        <f t="shared" si="8"/>
        <v>0</v>
      </c>
    </row>
    <row r="30" spans="1:10">
      <c r="A30" s="40" t="str">
        <f t="shared" si="3"/>
        <v>SCHMAT-SNPD</v>
      </c>
      <c r="B30" s="199" t="s">
        <v>147</v>
      </c>
      <c r="C30" s="193" t="s">
        <v>11</v>
      </c>
      <c r="D30" s="193" t="s">
        <v>66</v>
      </c>
      <c r="E30" s="256">
        <v>105.06400000000008</v>
      </c>
      <c r="F30" s="238">
        <f t="shared" si="4"/>
        <v>0</v>
      </c>
      <c r="G30" s="238">
        <f t="shared" si="5"/>
        <v>0</v>
      </c>
      <c r="H30" s="238">
        <f t="shared" si="6"/>
        <v>105.06400000000008</v>
      </c>
      <c r="I30" s="238">
        <f t="shared" si="7"/>
        <v>0</v>
      </c>
      <c r="J30" s="238">
        <f t="shared" si="8"/>
        <v>0</v>
      </c>
    </row>
    <row r="31" spans="1:10">
      <c r="A31" s="40" t="str">
        <f>IF(C31="","",B31&amp;"-"&amp;C31)</f>
        <v>SCHMAT-SO</v>
      </c>
      <c r="B31" s="199" t="s">
        <v>147</v>
      </c>
      <c r="C31" s="193" t="s">
        <v>85</v>
      </c>
      <c r="D31" s="198" t="s">
        <v>70</v>
      </c>
      <c r="E31" s="256">
        <v>0</v>
      </c>
      <c r="F31" s="238">
        <f t="shared" si="4"/>
        <v>0</v>
      </c>
      <c r="G31" s="238">
        <f t="shared" si="5"/>
        <v>0</v>
      </c>
      <c r="H31" s="238">
        <f t="shared" si="6"/>
        <v>0</v>
      </c>
      <c r="I31" s="238">
        <f t="shared" si="7"/>
        <v>0</v>
      </c>
      <c r="J31" s="238">
        <f t="shared" si="8"/>
        <v>0</v>
      </c>
    </row>
    <row r="32" spans="1:10">
      <c r="A32" s="40" t="str">
        <f>IF(C32="","",B32&amp;"-"&amp;C32)</f>
        <v>SCHMAT-SO</v>
      </c>
      <c r="B32" s="199" t="s">
        <v>147</v>
      </c>
      <c r="C32" s="193" t="s">
        <v>85</v>
      </c>
      <c r="D32" s="198" t="s">
        <v>98</v>
      </c>
      <c r="E32" s="256">
        <v>8038.5450000000019</v>
      </c>
      <c r="F32" s="238">
        <f t="shared" si="4"/>
        <v>3539.9946724824349</v>
      </c>
      <c r="G32" s="238">
        <f t="shared" si="5"/>
        <v>590.01970426102059</v>
      </c>
      <c r="H32" s="238">
        <f t="shared" si="6"/>
        <v>2734.5183003672391</v>
      </c>
      <c r="I32" s="238">
        <f t="shared" si="7"/>
        <v>1174.0123228893071</v>
      </c>
      <c r="J32" s="238">
        <f t="shared" si="8"/>
        <v>0</v>
      </c>
    </row>
    <row r="33" spans="1:10">
      <c r="A33" s="40" t="str">
        <f t="shared" si="3"/>
        <v>SCHMAT-SO</v>
      </c>
      <c r="B33" s="199" t="s">
        <v>147</v>
      </c>
      <c r="C33" s="193" t="s">
        <v>85</v>
      </c>
      <c r="D33" s="198" t="s">
        <v>88</v>
      </c>
      <c r="E33" s="256">
        <v>28961.201999999899</v>
      </c>
      <c r="F33" s="238">
        <f t="shared" si="4"/>
        <v>14614.655479073628</v>
      </c>
      <c r="G33" s="238">
        <f t="shared" si="5"/>
        <v>6731.2832081807519</v>
      </c>
      <c r="H33" s="238">
        <f t="shared" si="6"/>
        <v>7615.2633127455219</v>
      </c>
      <c r="I33" s="238">
        <f t="shared" si="7"/>
        <v>0</v>
      </c>
      <c r="J33" s="238">
        <f t="shared" si="8"/>
        <v>0</v>
      </c>
    </row>
    <row r="34" spans="1:10">
      <c r="A34" s="40" t="str">
        <f t="shared" si="3"/>
        <v>SCHMAT-OTHER</v>
      </c>
      <c r="B34" s="199" t="s">
        <v>147</v>
      </c>
      <c r="C34" s="193" t="s">
        <v>288</v>
      </c>
      <c r="D34" s="198" t="s">
        <v>69</v>
      </c>
      <c r="E34" s="256">
        <v>1141.24</v>
      </c>
      <c r="F34" s="238">
        <f t="shared" si="4"/>
        <v>0</v>
      </c>
      <c r="G34" s="238">
        <f t="shared" si="5"/>
        <v>0</v>
      </c>
      <c r="H34" s="238">
        <f t="shared" si="6"/>
        <v>0</v>
      </c>
      <c r="I34" s="238">
        <f t="shared" si="7"/>
        <v>1141.24</v>
      </c>
      <c r="J34" s="238">
        <f t="shared" si="8"/>
        <v>0</v>
      </c>
    </row>
    <row r="35" spans="1:10">
      <c r="A35" s="40" t="str">
        <f t="shared" ref="A35:A36" si="11">IF(C35="","",B35&amp;"-"&amp;C35)</f>
        <v>SCHMAT-OTHER</v>
      </c>
      <c r="B35" s="199" t="s">
        <v>147</v>
      </c>
      <c r="C35" s="193" t="s">
        <v>288</v>
      </c>
      <c r="D35" s="198" t="s">
        <v>70</v>
      </c>
      <c r="E35" s="256">
        <v>2254.7250000000004</v>
      </c>
      <c r="F35" s="238">
        <f t="shared" si="4"/>
        <v>0</v>
      </c>
      <c r="G35" s="238">
        <f t="shared" si="5"/>
        <v>0</v>
      </c>
      <c r="H35" s="238">
        <f t="shared" si="6"/>
        <v>0</v>
      </c>
      <c r="I35" s="238">
        <f t="shared" si="7"/>
        <v>0</v>
      </c>
      <c r="J35" s="238">
        <f t="shared" si="8"/>
        <v>2254.7250000000004</v>
      </c>
    </row>
    <row r="36" spans="1:10">
      <c r="A36" s="40" t="str">
        <f t="shared" si="11"/>
        <v>SCHMAT-OTHER</v>
      </c>
      <c r="B36" s="199" t="s">
        <v>147</v>
      </c>
      <c r="C36" s="193" t="s">
        <v>288</v>
      </c>
      <c r="D36" s="198" t="s">
        <v>98</v>
      </c>
      <c r="E36" s="256">
        <v>912.50699999999995</v>
      </c>
      <c r="F36" s="238">
        <f t="shared" si="4"/>
        <v>401.84758791583903</v>
      </c>
      <c r="G36" s="238">
        <f t="shared" si="5"/>
        <v>66.976935536979752</v>
      </c>
      <c r="H36" s="238">
        <f t="shared" si="6"/>
        <v>310.41277876944241</v>
      </c>
      <c r="I36" s="238">
        <f t="shared" si="7"/>
        <v>133.26969777773871</v>
      </c>
      <c r="J36" s="238">
        <f t="shared" si="8"/>
        <v>0</v>
      </c>
    </row>
    <row r="37" spans="1:10">
      <c r="A37" s="40" t="str">
        <f t="shared" ref="A37:A40" si="12">IF(C37="","",B37&amp;"-"&amp;C37)</f>
        <v>SCHMAT-OTHER</v>
      </c>
      <c r="B37" s="199" t="s">
        <v>147</v>
      </c>
      <c r="C37" s="193" t="s">
        <v>288</v>
      </c>
      <c r="D37" s="198" t="s">
        <v>106</v>
      </c>
      <c r="E37" s="256">
        <v>0</v>
      </c>
      <c r="F37" s="238">
        <f t="shared" si="4"/>
        <v>0</v>
      </c>
      <c r="G37" s="238">
        <f t="shared" si="5"/>
        <v>0</v>
      </c>
      <c r="H37" s="238">
        <f t="shared" si="6"/>
        <v>0</v>
      </c>
      <c r="I37" s="238">
        <f t="shared" si="7"/>
        <v>0</v>
      </c>
      <c r="J37" s="238">
        <f t="shared" si="8"/>
        <v>0</v>
      </c>
    </row>
    <row r="38" spans="1:10">
      <c r="A38" s="40" t="str">
        <f t="shared" si="12"/>
        <v>SCHMAT-OTHER</v>
      </c>
      <c r="B38" s="199" t="s">
        <v>147</v>
      </c>
      <c r="C38" s="193" t="s">
        <v>288</v>
      </c>
      <c r="D38" s="198" t="s">
        <v>64</v>
      </c>
      <c r="E38" s="256">
        <v>18018.277000000006</v>
      </c>
      <c r="F38" s="238">
        <f t="shared" si="4"/>
        <v>18018.277000000006</v>
      </c>
      <c r="G38" s="238">
        <f t="shared" si="5"/>
        <v>0</v>
      </c>
      <c r="H38" s="238">
        <f t="shared" si="6"/>
        <v>0</v>
      </c>
      <c r="I38" s="238">
        <f t="shared" si="7"/>
        <v>0</v>
      </c>
      <c r="J38" s="238">
        <f t="shared" si="8"/>
        <v>0</v>
      </c>
    </row>
    <row r="39" spans="1:10">
      <c r="A39" s="40" t="str">
        <f t="shared" si="12"/>
        <v>SCHMAT-OTHER</v>
      </c>
      <c r="B39" s="199" t="s">
        <v>147</v>
      </c>
      <c r="C39" s="193" t="s">
        <v>288</v>
      </c>
      <c r="D39" s="198" t="s">
        <v>88</v>
      </c>
      <c r="E39" s="256">
        <v>11886.724</v>
      </c>
      <c r="F39" s="238">
        <f t="shared" si="4"/>
        <v>5998.3828031321564</v>
      </c>
      <c r="G39" s="238">
        <f t="shared" si="5"/>
        <v>2762.7619068255322</v>
      </c>
      <c r="H39" s="238">
        <f t="shared" si="6"/>
        <v>3125.579290042313</v>
      </c>
      <c r="I39" s="238">
        <f t="shared" si="7"/>
        <v>0</v>
      </c>
      <c r="J39" s="238">
        <f t="shared" si="8"/>
        <v>0</v>
      </c>
    </row>
    <row r="40" spans="1:10">
      <c r="A40" s="40" t="str">
        <f t="shared" si="12"/>
        <v>SCHMAT-OTHER</v>
      </c>
      <c r="B40" s="199" t="s">
        <v>147</v>
      </c>
      <c r="C40" s="193" t="s">
        <v>288</v>
      </c>
      <c r="D40" s="198" t="s">
        <v>92</v>
      </c>
      <c r="E40" s="256">
        <v>65.994</v>
      </c>
      <c r="F40" s="238">
        <f t="shared" si="4"/>
        <v>0</v>
      </c>
      <c r="G40" s="238">
        <f t="shared" si="5"/>
        <v>30.96384927151092</v>
      </c>
      <c r="H40" s="238">
        <f t="shared" si="6"/>
        <v>35.03015072848909</v>
      </c>
      <c r="I40" s="238">
        <f t="shared" si="7"/>
        <v>0</v>
      </c>
      <c r="J40" s="238">
        <f t="shared" si="8"/>
        <v>0</v>
      </c>
    </row>
    <row r="41" spans="1:10">
      <c r="A41" s="40" t="str">
        <f t="shared" si="3"/>
        <v>SCHMAT-TROJD</v>
      </c>
      <c r="B41" s="199" t="s">
        <v>147</v>
      </c>
      <c r="C41" s="193" t="s">
        <v>236</v>
      </c>
      <c r="D41" s="193" t="s">
        <v>64</v>
      </c>
      <c r="E41" s="256">
        <v>0</v>
      </c>
      <c r="F41" s="238">
        <f t="shared" si="4"/>
        <v>0</v>
      </c>
      <c r="G41" s="238">
        <f t="shared" si="5"/>
        <v>0</v>
      </c>
      <c r="H41" s="238">
        <f t="shared" si="6"/>
        <v>0</v>
      </c>
      <c r="I41" s="238">
        <f t="shared" si="7"/>
        <v>0</v>
      </c>
      <c r="J41" s="238">
        <f t="shared" si="8"/>
        <v>0</v>
      </c>
    </row>
    <row r="42" spans="1:10">
      <c r="A42" s="40" t="str">
        <f t="shared" si="3"/>
        <v>SCHMAT-SITUS</v>
      </c>
      <c r="B42" s="199" t="s">
        <v>147</v>
      </c>
      <c r="C42" s="193" t="s">
        <v>12</v>
      </c>
      <c r="D42" s="193" t="s">
        <v>70</v>
      </c>
      <c r="E42" s="256">
        <v>-237.63200000000001</v>
      </c>
      <c r="F42" s="238">
        <f t="shared" si="4"/>
        <v>0</v>
      </c>
      <c r="G42" s="238">
        <f t="shared" si="5"/>
        <v>0</v>
      </c>
      <c r="H42" s="238">
        <f t="shared" si="6"/>
        <v>0</v>
      </c>
      <c r="I42" s="238">
        <f t="shared" si="7"/>
        <v>0</v>
      </c>
      <c r="J42" s="238">
        <f t="shared" si="8"/>
        <v>-237.63200000000001</v>
      </c>
    </row>
    <row r="43" spans="1:10">
      <c r="A43" s="40" t="str">
        <f t="shared" si="3"/>
        <v>SCHMAT-SITUS</v>
      </c>
      <c r="B43" s="199" t="s">
        <v>147</v>
      </c>
      <c r="C43" s="193" t="s">
        <v>12</v>
      </c>
      <c r="D43" s="193" t="s">
        <v>66</v>
      </c>
      <c r="E43" s="256">
        <v>1544.854</v>
      </c>
      <c r="F43" s="238">
        <f t="shared" si="4"/>
        <v>0</v>
      </c>
      <c r="G43" s="238">
        <f t="shared" si="5"/>
        <v>0</v>
      </c>
      <c r="H43" s="238">
        <f t="shared" si="6"/>
        <v>1544.854</v>
      </c>
      <c r="I43" s="238">
        <f t="shared" si="7"/>
        <v>0</v>
      </c>
      <c r="J43" s="238">
        <f t="shared" si="8"/>
        <v>0</v>
      </c>
    </row>
    <row r="44" spans="1:10">
      <c r="A44" s="40" t="str">
        <f t="shared" si="3"/>
        <v>SCHMAT-SITUS</v>
      </c>
      <c r="B44" s="199" t="s">
        <v>147</v>
      </c>
      <c r="C44" s="193" t="s">
        <v>12</v>
      </c>
      <c r="D44" s="193" t="s">
        <v>96</v>
      </c>
      <c r="E44" s="256">
        <v>236.631</v>
      </c>
      <c r="F44" s="238">
        <f t="shared" si="4"/>
        <v>70.9893</v>
      </c>
      <c r="G44" s="238">
        <f t="shared" si="5"/>
        <v>23.6631</v>
      </c>
      <c r="H44" s="238">
        <f t="shared" si="6"/>
        <v>141.9786</v>
      </c>
      <c r="I44" s="238">
        <f t="shared" si="7"/>
        <v>0</v>
      </c>
      <c r="J44" s="238">
        <f t="shared" si="8"/>
        <v>0</v>
      </c>
    </row>
    <row r="45" spans="1:10">
      <c r="A45" s="40" t="str">
        <f t="shared" si="3"/>
        <v>SCHMAT-SITUS</v>
      </c>
      <c r="B45" s="199" t="s">
        <v>147</v>
      </c>
      <c r="C45" s="193" t="s">
        <v>12</v>
      </c>
      <c r="D45" s="193" t="s">
        <v>106</v>
      </c>
      <c r="E45" s="256">
        <v>0</v>
      </c>
      <c r="F45" s="238">
        <f t="shared" si="4"/>
        <v>0</v>
      </c>
      <c r="G45" s="238">
        <f t="shared" si="5"/>
        <v>0</v>
      </c>
      <c r="H45" s="238">
        <f t="shared" si="6"/>
        <v>0</v>
      </c>
      <c r="I45" s="238">
        <f t="shared" si="7"/>
        <v>0</v>
      </c>
      <c r="J45" s="238">
        <f t="shared" si="8"/>
        <v>0</v>
      </c>
    </row>
    <row r="46" spans="1:10">
      <c r="A46" s="40" t="str">
        <f t="shared" si="3"/>
        <v>SCHMAT-SITUS</v>
      </c>
      <c r="B46" s="199" t="s">
        <v>147</v>
      </c>
      <c r="C46" s="193" t="s">
        <v>12</v>
      </c>
      <c r="D46" s="193" t="s">
        <v>98</v>
      </c>
      <c r="E46" s="256">
        <v>-3.0690000000000737</v>
      </c>
      <c r="F46" s="238">
        <f t="shared" si="4"/>
        <v>-1.3515186703375861</v>
      </c>
      <c r="G46" s="238">
        <f t="shared" si="5"/>
        <v>-0.22526097351910268</v>
      </c>
      <c r="H46" s="238">
        <f t="shared" si="6"/>
        <v>-1.043999463065425</v>
      </c>
      <c r="I46" s="238">
        <f t="shared" si="7"/>
        <v>-0.44822089307795993</v>
      </c>
      <c r="J46" s="238">
        <f t="shared" si="8"/>
        <v>0</v>
      </c>
    </row>
    <row r="47" spans="1:10">
      <c r="A47" s="40" t="str">
        <f t="shared" si="3"/>
        <v>SCHMAT-SITUS</v>
      </c>
      <c r="B47" s="199" t="s">
        <v>147</v>
      </c>
      <c r="C47" s="193" t="s">
        <v>12</v>
      </c>
      <c r="D47" s="193" t="s">
        <v>64</v>
      </c>
      <c r="E47" s="256">
        <v>-836.55499999999984</v>
      </c>
      <c r="F47" s="238">
        <f t="shared" si="4"/>
        <v>-836.55499999999984</v>
      </c>
      <c r="G47" s="238">
        <f t="shared" si="5"/>
        <v>0</v>
      </c>
      <c r="H47" s="238">
        <f t="shared" si="6"/>
        <v>0</v>
      </c>
      <c r="I47" s="238">
        <f t="shared" si="7"/>
        <v>0</v>
      </c>
      <c r="J47" s="238">
        <f t="shared" si="8"/>
        <v>0</v>
      </c>
    </row>
    <row r="48" spans="1:10">
      <c r="A48" s="40" t="str">
        <f t="shared" si="3"/>
        <v>SCHMAT-SITUS</v>
      </c>
      <c r="B48" s="199" t="s">
        <v>147</v>
      </c>
      <c r="C48" s="193" t="s">
        <v>12</v>
      </c>
      <c r="D48" s="193" t="s">
        <v>88</v>
      </c>
      <c r="E48" s="256">
        <v>-3161.9489999999996</v>
      </c>
      <c r="F48" s="238">
        <f t="shared" si="4"/>
        <v>-1595.6104058595888</v>
      </c>
      <c r="G48" s="238">
        <f t="shared" si="5"/>
        <v>-734.91335783728834</v>
      </c>
      <c r="H48" s="238">
        <f t="shared" si="6"/>
        <v>-831.42523630312269</v>
      </c>
      <c r="I48" s="238">
        <f t="shared" si="7"/>
        <v>0</v>
      </c>
      <c r="J48" s="238">
        <f t="shared" si="8"/>
        <v>0</v>
      </c>
    </row>
    <row r="49" spans="1:12">
      <c r="A49" s="40" t="str">
        <f>IF(C49="","",B49&amp;"-"&amp;C49)</f>
        <v>SCHMAT-SITUS</v>
      </c>
      <c r="B49" s="199" t="s">
        <v>147</v>
      </c>
      <c r="C49" s="193" t="s">
        <v>12</v>
      </c>
      <c r="D49" s="193" t="s">
        <v>65</v>
      </c>
      <c r="E49" s="256">
        <v>355.52699999999999</v>
      </c>
      <c r="F49" s="238">
        <f t="shared" si="4"/>
        <v>0</v>
      </c>
      <c r="G49" s="238">
        <f t="shared" si="5"/>
        <v>355.52699999999999</v>
      </c>
      <c r="H49" s="238">
        <f t="shared" si="6"/>
        <v>0</v>
      </c>
      <c r="I49" s="238">
        <f t="shared" si="7"/>
        <v>0</v>
      </c>
      <c r="J49" s="238">
        <f t="shared" si="8"/>
        <v>0</v>
      </c>
    </row>
    <row r="50" spans="1:12">
      <c r="A50" s="40" t="str">
        <f t="shared" ref="A50" si="13">IF(C50="","",B50&amp;"-"&amp;C50)</f>
        <v>SCHMAT-TROJP</v>
      </c>
      <c r="B50" s="199" t="s">
        <v>147</v>
      </c>
      <c r="C50" s="193" t="s">
        <v>6</v>
      </c>
      <c r="D50" s="193" t="s">
        <v>64</v>
      </c>
      <c r="E50" s="256">
        <v>-169.49100000000001</v>
      </c>
      <c r="F50" s="238">
        <f t="shared" si="4"/>
        <v>-169.49100000000001</v>
      </c>
      <c r="G50" s="238">
        <f t="shared" si="5"/>
        <v>0</v>
      </c>
      <c r="H50" s="238">
        <f t="shared" si="6"/>
        <v>0</v>
      </c>
      <c r="I50" s="238">
        <f t="shared" si="7"/>
        <v>0</v>
      </c>
      <c r="J50" s="238">
        <f t="shared" si="8"/>
        <v>0</v>
      </c>
    </row>
    <row r="51" spans="1:12">
      <c r="B51" s="135" t="s">
        <v>287</v>
      </c>
      <c r="C51" s="193"/>
      <c r="D51" s="193"/>
      <c r="E51" s="256">
        <f t="shared" ref="E51:J51" si="14">SUMIF($A:$A,"SCHMAT-SE",E:E)</f>
        <v>20024.524000000001</v>
      </c>
      <c r="F51" s="256">
        <f t="shared" si="14"/>
        <v>20024.524000000001</v>
      </c>
      <c r="G51" s="256">
        <f t="shared" si="14"/>
        <v>0</v>
      </c>
      <c r="H51" s="256">
        <f t="shared" si="14"/>
        <v>0</v>
      </c>
      <c r="I51" s="256">
        <f t="shared" si="14"/>
        <v>0</v>
      </c>
      <c r="J51" s="256">
        <f t="shared" si="14"/>
        <v>0</v>
      </c>
    </row>
    <row r="52" spans="1:12">
      <c r="A52" s="40" t="str">
        <f t="shared" ref="A52:A60" si="15">IF(C52="","",B52&amp;"-"&amp;C52)</f>
        <v/>
      </c>
      <c r="B52" s="135" t="s">
        <v>254</v>
      </c>
      <c r="E52" s="256">
        <f t="shared" ref="E52:J52" si="16">SUMIF($A:$A,"SCHMAT-SNP",E:E)</f>
        <v>52509.645000000004</v>
      </c>
      <c r="F52" s="256">
        <f t="shared" si="16"/>
        <v>26498.101105955397</v>
      </c>
      <c r="G52" s="256">
        <f t="shared" si="16"/>
        <v>12201.168492597257</v>
      </c>
      <c r="H52" s="256">
        <f t="shared" si="16"/>
        <v>13804.532768872677</v>
      </c>
      <c r="I52" s="256">
        <f t="shared" si="16"/>
        <v>5.8426325746710033</v>
      </c>
      <c r="J52" s="256">
        <f t="shared" si="16"/>
        <v>0</v>
      </c>
    </row>
    <row r="53" spans="1:12">
      <c r="A53" s="40" t="str">
        <f t="shared" si="15"/>
        <v/>
      </c>
      <c r="B53" s="135" t="s">
        <v>256</v>
      </c>
      <c r="E53" s="256">
        <f t="shared" ref="E53:J53" si="17">SUMIF($A:$A,"SCHMAT-SITUS",E:E)</f>
        <v>-2102.1929999999993</v>
      </c>
      <c r="F53" s="256">
        <f t="shared" si="17"/>
        <v>-2362.5276245299265</v>
      </c>
      <c r="G53" s="256">
        <f t="shared" si="17"/>
        <v>-355.94851881080746</v>
      </c>
      <c r="H53" s="256">
        <f t="shared" si="17"/>
        <v>854.36336423381192</v>
      </c>
      <c r="I53" s="256">
        <f t="shared" si="17"/>
        <v>-0.44822089307795993</v>
      </c>
      <c r="J53" s="256">
        <f t="shared" si="17"/>
        <v>-237.63200000000001</v>
      </c>
    </row>
    <row r="54" spans="1:12">
      <c r="B54" s="135" t="s">
        <v>251</v>
      </c>
      <c r="E54" s="256">
        <f t="shared" ref="E54:J54" si="18">SUMIF($A:$A,"SCHMAT-SO",E:E)</f>
        <v>36999.746999999901</v>
      </c>
      <c r="F54" s="256">
        <f t="shared" si="18"/>
        <v>18154.650151556063</v>
      </c>
      <c r="G54" s="256">
        <f t="shared" si="18"/>
        <v>7321.3029124417726</v>
      </c>
      <c r="H54" s="256">
        <f t="shared" si="18"/>
        <v>10349.781613112762</v>
      </c>
      <c r="I54" s="256">
        <f t="shared" si="18"/>
        <v>1174.0123228893071</v>
      </c>
      <c r="J54" s="256">
        <f t="shared" si="18"/>
        <v>0</v>
      </c>
    </row>
    <row r="55" spans="1:12" s="198" customFormat="1">
      <c r="A55" s="40" t="str">
        <f t="shared" si="15"/>
        <v/>
      </c>
      <c r="B55" s="135" t="s">
        <v>252</v>
      </c>
      <c r="C55" s="193"/>
      <c r="D55" s="193"/>
      <c r="E55" s="256">
        <f t="shared" ref="E55:J55" si="19">SUMIF($B:$B,"SCHMAT",E:E)</f>
        <v>872706.65799724031</v>
      </c>
      <c r="F55" s="256">
        <f t="shared" si="19"/>
        <v>438024.89164523006</v>
      </c>
      <c r="G55" s="256">
        <f t="shared" si="19"/>
        <v>179778.04148121044</v>
      </c>
      <c r="H55" s="256">
        <f t="shared" si="19"/>
        <v>249195.86183816343</v>
      </c>
      <c r="I55" s="256">
        <f t="shared" si="19"/>
        <v>3690.7700326362433</v>
      </c>
      <c r="J55" s="256">
        <f t="shared" si="19"/>
        <v>2017.0930000000003</v>
      </c>
      <c r="L55" s="193"/>
    </row>
    <row r="56" spans="1:12" s="198" customFormat="1">
      <c r="A56" s="40"/>
      <c r="B56" s="136" t="s">
        <v>26</v>
      </c>
      <c r="C56" s="193"/>
      <c r="D56" s="193"/>
      <c r="E56" s="236">
        <f>SUM(F56:J56)</f>
        <v>1</v>
      </c>
      <c r="F56" s="237">
        <f t="shared" ref="F56:J60" si="20">IF(ISERROR(F51/$E51)," ",(F51/$E51))</f>
        <v>1</v>
      </c>
      <c r="G56" s="237">
        <f t="shared" si="20"/>
        <v>0</v>
      </c>
      <c r="H56" s="237">
        <f t="shared" si="20"/>
        <v>0</v>
      </c>
      <c r="I56" s="237">
        <f t="shared" si="20"/>
        <v>0</v>
      </c>
      <c r="J56" s="237">
        <f t="shared" si="20"/>
        <v>0</v>
      </c>
      <c r="L56" s="193"/>
    </row>
    <row r="57" spans="1:12">
      <c r="A57" s="40" t="str">
        <f t="shared" si="15"/>
        <v/>
      </c>
      <c r="B57" s="136" t="s">
        <v>28</v>
      </c>
      <c r="C57" s="136"/>
      <c r="D57" s="198"/>
      <c r="E57" s="236">
        <f>SUM(F57:J57)</f>
        <v>1</v>
      </c>
      <c r="F57" s="237">
        <f t="shared" si="20"/>
        <v>0.50463302705541802</v>
      </c>
      <c r="G57" s="237">
        <f t="shared" si="20"/>
        <v>0.23236052143558114</v>
      </c>
      <c r="H57" s="237">
        <f t="shared" si="20"/>
        <v>0.26289518371096732</v>
      </c>
      <c r="I57" s="237">
        <f t="shared" si="20"/>
        <v>1.1126779803350418E-4</v>
      </c>
      <c r="J57" s="237">
        <f t="shared" si="20"/>
        <v>0</v>
      </c>
      <c r="L57" s="199"/>
    </row>
    <row r="58" spans="1:12">
      <c r="A58" s="40" t="str">
        <f t="shared" si="15"/>
        <v/>
      </c>
      <c r="B58" s="136" t="s">
        <v>32</v>
      </c>
      <c r="C58" s="136"/>
      <c r="D58" s="198"/>
      <c r="E58" s="236">
        <f>SUM(F58:J58)</f>
        <v>1.0000000000000002</v>
      </c>
      <c r="F58" s="237">
        <f t="shared" si="20"/>
        <v>1.1238395449561136</v>
      </c>
      <c r="G58" s="237">
        <f t="shared" si="20"/>
        <v>0.16932247363149225</v>
      </c>
      <c r="H58" s="237">
        <f t="shared" si="20"/>
        <v>-0.40641528357948686</v>
      </c>
      <c r="I58" s="237">
        <f t="shared" si="20"/>
        <v>2.1321586223432389E-4</v>
      </c>
      <c r="J58" s="237">
        <f t="shared" si="20"/>
        <v>0.11304004912964703</v>
      </c>
    </row>
    <row r="59" spans="1:12">
      <c r="B59" s="136" t="s">
        <v>30</v>
      </c>
      <c r="C59" s="136"/>
      <c r="D59" s="198"/>
      <c r="E59" s="236">
        <f>SUM(F59:J59)</f>
        <v>1.0000000000000002</v>
      </c>
      <c r="F59" s="237">
        <f t="shared" si="20"/>
        <v>0.49066957543131612</v>
      </c>
      <c r="G59" s="237">
        <f t="shared" si="20"/>
        <v>0.19787440472070775</v>
      </c>
      <c r="H59" s="237">
        <f t="shared" si="20"/>
        <v>0.27972574010067663</v>
      </c>
      <c r="I59" s="237">
        <f t="shared" si="20"/>
        <v>3.1730279747299632E-2</v>
      </c>
      <c r="J59" s="237">
        <f t="shared" si="20"/>
        <v>0</v>
      </c>
    </row>
    <row r="60" spans="1:12">
      <c r="A60" s="40" t="str">
        <f t="shared" si="15"/>
        <v/>
      </c>
      <c r="B60" s="136" t="s">
        <v>149</v>
      </c>
      <c r="C60" s="136"/>
      <c r="D60" s="198"/>
      <c r="E60" s="236">
        <f>SUM(F60:J60)</f>
        <v>0.99999999999999989</v>
      </c>
      <c r="F60" s="237">
        <f t="shared" si="20"/>
        <v>0.50191537744245696</v>
      </c>
      <c r="G60" s="237">
        <f t="shared" si="20"/>
        <v>0.2060005384785078</v>
      </c>
      <c r="H60" s="237">
        <f t="shared" si="20"/>
        <v>0.285543669862722</v>
      </c>
      <c r="I60" s="237">
        <f t="shared" si="20"/>
        <v>4.2291072249937096E-3</v>
      </c>
      <c r="J60" s="237">
        <f t="shared" si="20"/>
        <v>2.3113069913193889E-3</v>
      </c>
    </row>
    <row r="61" spans="1:12">
      <c r="B61" s="257"/>
      <c r="C61" s="257"/>
      <c r="D61" s="198"/>
      <c r="E61" s="258"/>
      <c r="F61" s="259"/>
      <c r="G61" s="259"/>
      <c r="H61" s="259"/>
      <c r="I61" s="259"/>
      <c r="J61" s="259"/>
    </row>
    <row r="62" spans="1:12">
      <c r="A62" s="40" t="str">
        <f>IF(C62="","",B62&amp;"-"&amp;C62)</f>
        <v>SCHMAF-DGP</v>
      </c>
      <c r="B62" s="40" t="s">
        <v>150</v>
      </c>
      <c r="C62" s="40" t="s">
        <v>100</v>
      </c>
      <c r="D62" s="40" t="s">
        <v>64</v>
      </c>
      <c r="E62" s="238">
        <v>0</v>
      </c>
      <c r="F62" s="260">
        <f>VLOOKUP($D62,$D$143:$J$154,3,FALSE)*$E62</f>
        <v>0</v>
      </c>
      <c r="G62" s="260">
        <f>VLOOKUP($D62,$D$143:$J$154,4,FALSE)*$E62</f>
        <v>0</v>
      </c>
      <c r="H62" s="260">
        <f>VLOOKUP($D62,$D$143:$J$154,5,FALSE)*$E62</f>
        <v>0</v>
      </c>
      <c r="I62" s="260">
        <f>VLOOKUP($D62,$D$143:$J$154,6,FALSE)*$E62</f>
        <v>0</v>
      </c>
      <c r="J62" s="260">
        <f>VLOOKUP($D62,$D$143:$J$154,7,FALSE)*$E62</f>
        <v>0</v>
      </c>
    </row>
    <row r="63" spans="1:12">
      <c r="A63" s="40" t="str">
        <f>IF(C63="","",B63&amp;"-"&amp;C63)</f>
        <v>SCHMAF-TROJP</v>
      </c>
      <c r="B63" s="40" t="s">
        <v>150</v>
      </c>
      <c r="C63" s="40" t="s">
        <v>6</v>
      </c>
      <c r="D63" s="40" t="s">
        <v>64</v>
      </c>
      <c r="E63" s="256">
        <v>0</v>
      </c>
      <c r="F63" s="260">
        <f>VLOOKUP($D63,$D$143:$J$154,3,FALSE)*$E63</f>
        <v>0</v>
      </c>
      <c r="G63" s="260">
        <f>VLOOKUP($D63,$D$143:$J$154,4,FALSE)*$E63</f>
        <v>0</v>
      </c>
      <c r="H63" s="260">
        <f>VLOOKUP($D63,$D$143:$J$154,5,FALSE)*$E63</f>
        <v>0</v>
      </c>
      <c r="I63" s="260">
        <f>VLOOKUP($D63,$D$143:$J$154,6,FALSE)*$E63</f>
        <v>0</v>
      </c>
      <c r="J63" s="260">
        <f>VLOOKUP($D63,$D$143:$J$154,7,FALSE)*$E63</f>
        <v>0</v>
      </c>
    </row>
    <row r="64" spans="1:12">
      <c r="A64" s="40" t="str">
        <f t="shared" ref="A64:A127" si="21">IF(C64="","",B64&amp;"-"&amp;C64)</f>
        <v/>
      </c>
      <c r="B64" s="136" t="s">
        <v>257</v>
      </c>
      <c r="E64" s="256">
        <f t="shared" ref="E64:J64" si="22">SUMIF($A:$A,"SCHMAF",E:E)</f>
        <v>0</v>
      </c>
      <c r="F64" s="256">
        <f t="shared" si="22"/>
        <v>0</v>
      </c>
      <c r="G64" s="256">
        <f t="shared" si="22"/>
        <v>0</v>
      </c>
      <c r="H64" s="256">
        <f t="shared" si="22"/>
        <v>0</v>
      </c>
      <c r="I64" s="256">
        <f t="shared" si="22"/>
        <v>0</v>
      </c>
      <c r="J64" s="256">
        <f t="shared" si="22"/>
        <v>0</v>
      </c>
    </row>
    <row r="65" spans="1:12">
      <c r="A65" s="40" t="str">
        <f t="shared" si="21"/>
        <v/>
      </c>
      <c r="B65" s="136" t="s">
        <v>56</v>
      </c>
      <c r="C65" s="136"/>
      <c r="D65" s="198"/>
      <c r="E65" s="236">
        <f>SUM(F65:J65)</f>
        <v>0</v>
      </c>
      <c r="F65" s="237" t="str">
        <f>IF(ISERROR(F64/$E64)," ",(F64/$E64))</f>
        <v xml:space="preserve"> </v>
      </c>
      <c r="G65" s="237" t="str">
        <f>IF(ISERROR(G64/$E64)," ",(G64/$E64))</f>
        <v xml:space="preserve"> </v>
      </c>
      <c r="H65" s="237" t="str">
        <f>IF(ISERROR(H64/$E64)," ",(H64/$E64))</f>
        <v xml:space="preserve"> </v>
      </c>
      <c r="I65" s="237" t="str">
        <f>IF(ISERROR(I64/$E64)," ",(I64/$E64))</f>
        <v xml:space="preserve"> </v>
      </c>
      <c r="J65" s="237" t="str">
        <f>IF(ISERROR(J64/$E64)," ",(J64/$E64))</f>
        <v xml:space="preserve"> </v>
      </c>
    </row>
    <row r="66" spans="1:12">
      <c r="B66" s="257"/>
      <c r="C66" s="257"/>
      <c r="D66" s="198"/>
      <c r="E66" s="258"/>
      <c r="F66" s="259"/>
      <c r="G66" s="259"/>
      <c r="H66" s="259"/>
      <c r="I66" s="259"/>
      <c r="J66" s="259"/>
    </row>
    <row r="67" spans="1:12">
      <c r="A67" s="40" t="str">
        <f t="shared" si="21"/>
        <v/>
      </c>
      <c r="B67" s="31" t="s">
        <v>258</v>
      </c>
      <c r="C67" s="198"/>
      <c r="D67" s="198"/>
      <c r="E67" s="238">
        <f t="shared" ref="E67:J67" si="23">SUM(E64,E55,E14)</f>
        <v>868495.85898724035</v>
      </c>
      <c r="F67" s="238">
        <f t="shared" si="23"/>
        <v>434414.41200102383</v>
      </c>
      <c r="G67" s="238">
        <f t="shared" si="23"/>
        <v>179436.78313513016</v>
      </c>
      <c r="H67" s="238">
        <f t="shared" si="23"/>
        <v>248890.79238380742</v>
      </c>
      <c r="I67" s="238">
        <f t="shared" si="23"/>
        <v>3736.7784672787607</v>
      </c>
      <c r="J67" s="238">
        <f t="shared" si="23"/>
        <v>2017.0930000000003</v>
      </c>
    </row>
    <row r="68" spans="1:12">
      <c r="A68" s="40" t="str">
        <f t="shared" si="21"/>
        <v/>
      </c>
      <c r="B68" s="136" t="s">
        <v>151</v>
      </c>
      <c r="C68" s="136"/>
      <c r="D68" s="198"/>
      <c r="E68" s="236">
        <f>SUM(F68:J68)</f>
        <v>0.99999999999999967</v>
      </c>
      <c r="F68" s="237">
        <f>IF(ISERROR(F67/$E67)," ",(F67/$E67))</f>
        <v>0.50019169061738278</v>
      </c>
      <c r="G68" s="237">
        <f>IF(ISERROR(G67/$E67)," ",(G67/$E67))</f>
        <v>0.20660637731119727</v>
      </c>
      <c r="H68" s="237">
        <f>IF(ISERROR(H67/$E67)," ",(H67/$E67))</f>
        <v>0.28657683258736649</v>
      </c>
      <c r="I68" s="237">
        <f>IF(ISERROR(I67/$E67)," ",(I67/$E67))</f>
        <v>4.3025863953297903E-3</v>
      </c>
      <c r="J68" s="237">
        <f>IF(ISERROR(J67/$E67)," ",(J67/$E67))</f>
        <v>2.3225130887234717E-3</v>
      </c>
    </row>
    <row r="69" spans="1:12">
      <c r="B69" s="257"/>
      <c r="C69" s="257"/>
      <c r="D69" s="198"/>
      <c r="E69" s="258"/>
      <c r="F69" s="259"/>
      <c r="G69" s="259"/>
      <c r="H69" s="259"/>
      <c r="I69" s="259"/>
      <c r="J69" s="259"/>
    </row>
    <row r="70" spans="1:12" ht="15.75">
      <c r="A70" s="40" t="str">
        <f t="shared" si="21"/>
        <v/>
      </c>
      <c r="B70" s="222" t="s">
        <v>233</v>
      </c>
      <c r="C70" s="223"/>
      <c r="D70" s="223"/>
      <c r="E70" s="223"/>
      <c r="F70" s="261"/>
      <c r="G70" s="261"/>
      <c r="H70" s="261"/>
      <c r="I70" s="261"/>
      <c r="J70" s="261"/>
      <c r="L70" s="199"/>
    </row>
    <row r="71" spans="1:12">
      <c r="A71" s="40" t="str">
        <f t="shared" si="21"/>
        <v>SCHMDP-SCHMDEXP</v>
      </c>
      <c r="B71" s="199" t="s">
        <v>152</v>
      </c>
      <c r="C71" s="199" t="s">
        <v>10</v>
      </c>
      <c r="D71" s="199" t="s">
        <v>98</v>
      </c>
      <c r="E71" s="238">
        <v>-162.45474999999999</v>
      </c>
      <c r="F71" s="260">
        <f t="shared" ref="F71:F76" si="24">VLOOKUP($D71,$D$143:$J$154,3,FALSE)*$E71</f>
        <v>-71.541423170420231</v>
      </c>
      <c r="G71" s="260">
        <f t="shared" ref="G71:G76" si="25">VLOOKUP($D71,$D$143:$J$154,4,FALSE)*$E71</f>
        <v>-11.923986685500672</v>
      </c>
      <c r="H71" s="260">
        <f t="shared" ref="H71:H76" si="26">VLOOKUP($D71,$D$143:$J$154,5,FALSE)*$E71</f>
        <v>-55.263170991340424</v>
      </c>
      <c r="I71" s="260">
        <f t="shared" ref="I71:I76" si="27">VLOOKUP($D71,$D$143:$J$154,6,FALSE)*$E71</f>
        <v>-23.726169152738663</v>
      </c>
      <c r="J71" s="260">
        <f t="shared" ref="J71:J76" si="28">VLOOKUP($D71,$D$143:$J$154,7,FALSE)*$E71</f>
        <v>0</v>
      </c>
      <c r="L71" s="199"/>
    </row>
    <row r="72" spans="1:12">
      <c r="A72" s="40" t="str">
        <f t="shared" si="21"/>
        <v>SCHMDP-SE</v>
      </c>
      <c r="B72" s="193" t="s">
        <v>152</v>
      </c>
      <c r="C72" s="199" t="s">
        <v>81</v>
      </c>
      <c r="D72" s="193" t="s">
        <v>64</v>
      </c>
      <c r="E72" s="262">
        <v>485.89100000000002</v>
      </c>
      <c r="F72" s="260">
        <f t="shared" si="24"/>
        <v>485.89100000000002</v>
      </c>
      <c r="G72" s="260">
        <f t="shared" si="25"/>
        <v>0</v>
      </c>
      <c r="H72" s="260">
        <f t="shared" si="26"/>
        <v>0</v>
      </c>
      <c r="I72" s="260">
        <f t="shared" si="27"/>
        <v>0</v>
      </c>
      <c r="J72" s="260">
        <f t="shared" si="28"/>
        <v>0</v>
      </c>
    </row>
    <row r="73" spans="1:12">
      <c r="A73" s="40" t="str">
        <f t="shared" si="21"/>
        <v>SCHMDP-SG</v>
      </c>
      <c r="B73" s="193" t="s">
        <v>152</v>
      </c>
      <c r="C73" s="193" t="s">
        <v>83</v>
      </c>
      <c r="D73" s="193" t="s">
        <v>64</v>
      </c>
      <c r="E73" s="262">
        <v>0</v>
      </c>
      <c r="F73" s="260">
        <f t="shared" si="24"/>
        <v>0</v>
      </c>
      <c r="G73" s="260">
        <f t="shared" si="25"/>
        <v>0</v>
      </c>
      <c r="H73" s="260">
        <f t="shared" si="26"/>
        <v>0</v>
      </c>
      <c r="I73" s="260">
        <f t="shared" si="27"/>
        <v>0</v>
      </c>
      <c r="J73" s="260">
        <f t="shared" si="28"/>
        <v>0</v>
      </c>
    </row>
    <row r="74" spans="1:12">
      <c r="A74" s="40" t="str">
        <f t="shared" si="21"/>
        <v>SCHMDP-SNP</v>
      </c>
      <c r="B74" s="193" t="s">
        <v>152</v>
      </c>
      <c r="C74" s="193" t="s">
        <v>7</v>
      </c>
      <c r="D74" s="193" t="s">
        <v>88</v>
      </c>
      <c r="E74" s="238">
        <v>377.76499999999999</v>
      </c>
      <c r="F74" s="260">
        <f t="shared" si="24"/>
        <v>190.63108385668068</v>
      </c>
      <c r="G74" s="260">
        <f t="shared" si="25"/>
        <v>87.801714899071186</v>
      </c>
      <c r="H74" s="260">
        <f t="shared" si="26"/>
        <v>99.332201244248154</v>
      </c>
      <c r="I74" s="260">
        <f t="shared" si="27"/>
        <v>0</v>
      </c>
      <c r="J74" s="260">
        <f t="shared" si="28"/>
        <v>0</v>
      </c>
    </row>
    <row r="75" spans="1:12">
      <c r="A75" s="40" t="str">
        <f t="shared" si="21"/>
        <v>SCHMDP-SO</v>
      </c>
      <c r="B75" s="193" t="s">
        <v>152</v>
      </c>
      <c r="C75" s="193" t="s">
        <v>85</v>
      </c>
      <c r="D75" s="193" t="s">
        <v>98</v>
      </c>
      <c r="E75" s="238">
        <v>-87.179259999999886</v>
      </c>
      <c r="F75" s="260">
        <f t="shared" si="24"/>
        <v>-38.391788060023373</v>
      </c>
      <c r="G75" s="260">
        <f t="shared" si="25"/>
        <v>-6.3988546687111336</v>
      </c>
      <c r="H75" s="260">
        <f t="shared" si="26"/>
        <v>-29.656272606855254</v>
      </c>
      <c r="I75" s="260">
        <f t="shared" si="27"/>
        <v>-12.732344664410126</v>
      </c>
      <c r="J75" s="260">
        <f t="shared" si="28"/>
        <v>0</v>
      </c>
    </row>
    <row r="76" spans="1:12">
      <c r="A76" s="40" t="str">
        <f t="shared" si="21"/>
        <v>SCHMDP-SITUS</v>
      </c>
      <c r="B76" s="193" t="s">
        <v>152</v>
      </c>
      <c r="C76" s="193" t="s">
        <v>12</v>
      </c>
      <c r="D76" s="193" t="s">
        <v>88</v>
      </c>
      <c r="E76" s="238">
        <v>0</v>
      </c>
      <c r="F76" s="260">
        <f t="shared" si="24"/>
        <v>0</v>
      </c>
      <c r="G76" s="260">
        <f t="shared" si="25"/>
        <v>0</v>
      </c>
      <c r="H76" s="260">
        <f t="shared" si="26"/>
        <v>0</v>
      </c>
      <c r="I76" s="260">
        <f t="shared" si="27"/>
        <v>0</v>
      </c>
      <c r="J76" s="260">
        <f t="shared" si="28"/>
        <v>0</v>
      </c>
      <c r="L76" s="199"/>
    </row>
    <row r="77" spans="1:12">
      <c r="B77" s="136" t="s">
        <v>251</v>
      </c>
      <c r="C77" s="193"/>
      <c r="D77" s="193"/>
      <c r="E77" s="262">
        <f t="shared" ref="E77:J77" si="29">SUMIF($A:$A,"SCHMDP-SO",E:E)</f>
        <v>-87.179259999999886</v>
      </c>
      <c r="F77" s="262">
        <f t="shared" si="29"/>
        <v>-38.391788060023373</v>
      </c>
      <c r="G77" s="262">
        <f t="shared" si="29"/>
        <v>-6.3988546687111336</v>
      </c>
      <c r="H77" s="262">
        <f t="shared" si="29"/>
        <v>-29.656272606855254</v>
      </c>
      <c r="I77" s="262">
        <f t="shared" si="29"/>
        <v>-12.732344664410126</v>
      </c>
      <c r="J77" s="262">
        <f t="shared" si="29"/>
        <v>0</v>
      </c>
    </row>
    <row r="78" spans="1:12">
      <c r="A78" s="40" t="str">
        <f t="shared" si="21"/>
        <v/>
      </c>
      <c r="B78" s="136" t="s">
        <v>260</v>
      </c>
      <c r="C78" s="198"/>
      <c r="D78" s="198"/>
      <c r="E78" s="238">
        <f t="shared" ref="E78:J78" si="30">SUMIF($B:$B,"SCHMDP",E:E)</f>
        <v>614.02199000000019</v>
      </c>
      <c r="F78" s="238">
        <f t="shared" si="30"/>
        <v>566.58887262623716</v>
      </c>
      <c r="G78" s="238">
        <f t="shared" si="30"/>
        <v>69.478873544859383</v>
      </c>
      <c r="H78" s="238">
        <f t="shared" si="30"/>
        <v>14.412757646052476</v>
      </c>
      <c r="I78" s="238">
        <f t="shared" si="30"/>
        <v>-36.458513817148791</v>
      </c>
      <c r="J78" s="238">
        <f t="shared" si="30"/>
        <v>0</v>
      </c>
    </row>
    <row r="79" spans="1:12">
      <c r="A79" s="40" t="str">
        <f t="shared" si="21"/>
        <v/>
      </c>
      <c r="B79" s="136" t="s">
        <v>34</v>
      </c>
      <c r="C79" s="136"/>
      <c r="D79" s="198"/>
      <c r="E79" s="236">
        <f>SUM(F79:J79)</f>
        <v>1</v>
      </c>
      <c r="F79" s="237">
        <f t="shared" ref="F79:J80" si="31">IF(ISERROR(F77/$E77)," ",(F77/$E77))</f>
        <v>0.44037754002527002</v>
      </c>
      <c r="G79" s="237">
        <f t="shared" si="31"/>
        <v>7.3398818350960335E-2</v>
      </c>
      <c r="H79" s="237">
        <f t="shared" si="31"/>
        <v>0.34017577812492666</v>
      </c>
      <c r="I79" s="237">
        <f t="shared" si="31"/>
        <v>0.14604786349884299</v>
      </c>
      <c r="J79" s="237">
        <f t="shared" si="31"/>
        <v>0</v>
      </c>
    </row>
    <row r="80" spans="1:12">
      <c r="A80" s="40" t="str">
        <f t="shared" si="21"/>
        <v/>
      </c>
      <c r="B80" s="136" t="s">
        <v>153</v>
      </c>
      <c r="C80" s="136"/>
      <c r="D80" s="198"/>
      <c r="E80" s="236">
        <f>SUM(F80:J80)</f>
        <v>1.0000000000000002</v>
      </c>
      <c r="F80" s="237">
        <f t="shared" si="31"/>
        <v>0.92275013249319782</v>
      </c>
      <c r="G80" s="237">
        <f t="shared" si="31"/>
        <v>0.11315372197803431</v>
      </c>
      <c r="H80" s="237">
        <f t="shared" si="31"/>
        <v>2.3472705995517314E-2</v>
      </c>
      <c r="I80" s="237">
        <f t="shared" si="31"/>
        <v>-5.9376560466749377E-2</v>
      </c>
      <c r="J80" s="237">
        <f t="shared" si="31"/>
        <v>0</v>
      </c>
      <c r="L80" s="199"/>
    </row>
    <row r="81" spans="1:12">
      <c r="B81" s="257"/>
      <c r="C81" s="257"/>
      <c r="D81" s="198"/>
      <c r="E81" s="258"/>
      <c r="F81" s="259"/>
      <c r="G81" s="259"/>
      <c r="H81" s="259"/>
      <c r="I81" s="259"/>
      <c r="J81" s="259"/>
    </row>
    <row r="82" spans="1:12">
      <c r="A82" s="40" t="str">
        <f t="shared" si="21"/>
        <v>SCHMDT-BADDEBT</v>
      </c>
      <c r="B82" s="193" t="s">
        <v>154</v>
      </c>
      <c r="C82" s="193" t="s">
        <v>8</v>
      </c>
      <c r="D82" s="193" t="s">
        <v>69</v>
      </c>
      <c r="E82" s="238">
        <v>0</v>
      </c>
      <c r="F82" s="238">
        <f t="shared" ref="F82:F111" si="32">VLOOKUP($D82,$D$143:$J$154,3,FALSE)*$E82</f>
        <v>0</v>
      </c>
      <c r="G82" s="238">
        <f t="shared" ref="G82:G111" si="33">VLOOKUP($D82,$D$143:$J$154,4,FALSE)*$E82</f>
        <v>0</v>
      </c>
      <c r="H82" s="238">
        <f t="shared" ref="H82:H111" si="34">VLOOKUP($D82,$D$143:$J$154,5,FALSE)*$E82</f>
        <v>0</v>
      </c>
      <c r="I82" s="238">
        <f t="shared" ref="I82:I111" si="35">VLOOKUP($D82,$D$143:$J$154,6,FALSE)*$E82</f>
        <v>0</v>
      </c>
      <c r="J82" s="238">
        <f t="shared" ref="J82:J111" si="36">VLOOKUP($D82,$D$143:$J$154,7,FALSE)*$E82</f>
        <v>0</v>
      </c>
    </row>
    <row r="83" spans="1:12">
      <c r="A83" s="40" t="str">
        <f t="shared" si="21"/>
        <v>SCHMDT-CN</v>
      </c>
      <c r="B83" s="193" t="s">
        <v>154</v>
      </c>
      <c r="C83" s="193" t="s">
        <v>80</v>
      </c>
      <c r="D83" s="193" t="s">
        <v>69</v>
      </c>
      <c r="E83" s="238">
        <v>0</v>
      </c>
      <c r="F83" s="238">
        <f t="shared" si="32"/>
        <v>0</v>
      </c>
      <c r="G83" s="238">
        <f t="shared" si="33"/>
        <v>0</v>
      </c>
      <c r="H83" s="238">
        <f t="shared" si="34"/>
        <v>0</v>
      </c>
      <c r="I83" s="238">
        <f t="shared" si="35"/>
        <v>0</v>
      </c>
      <c r="J83" s="238">
        <f t="shared" si="36"/>
        <v>0</v>
      </c>
    </row>
    <row r="84" spans="1:12">
      <c r="A84" s="40" t="str">
        <f t="shared" si="21"/>
        <v>SCHMDT-GPS</v>
      </c>
      <c r="B84" s="193" t="s">
        <v>154</v>
      </c>
      <c r="C84" s="193" t="s">
        <v>9</v>
      </c>
      <c r="D84" s="193" t="s">
        <v>106</v>
      </c>
      <c r="E84" s="238">
        <v>0</v>
      </c>
      <c r="F84" s="238">
        <f t="shared" si="32"/>
        <v>0</v>
      </c>
      <c r="G84" s="238">
        <f t="shared" si="33"/>
        <v>0</v>
      </c>
      <c r="H84" s="238">
        <f t="shared" si="34"/>
        <v>0</v>
      </c>
      <c r="I84" s="238">
        <f t="shared" si="35"/>
        <v>0</v>
      </c>
      <c r="J84" s="238">
        <f t="shared" si="36"/>
        <v>0</v>
      </c>
    </row>
    <row r="85" spans="1:12">
      <c r="A85" s="40" t="str">
        <f t="shared" si="21"/>
        <v>SCHMDT-GPS</v>
      </c>
      <c r="B85" s="193" t="s">
        <v>154</v>
      </c>
      <c r="C85" s="193" t="s">
        <v>9</v>
      </c>
      <c r="D85" s="193" t="s">
        <v>64</v>
      </c>
      <c r="E85" s="238">
        <v>0</v>
      </c>
      <c r="F85" s="238">
        <f t="shared" si="32"/>
        <v>0</v>
      </c>
      <c r="G85" s="238">
        <f t="shared" si="33"/>
        <v>0</v>
      </c>
      <c r="H85" s="238">
        <f t="shared" si="34"/>
        <v>0</v>
      </c>
      <c r="I85" s="238">
        <f t="shared" si="35"/>
        <v>0</v>
      </c>
      <c r="J85" s="238">
        <f t="shared" si="36"/>
        <v>0</v>
      </c>
    </row>
    <row r="86" spans="1:12">
      <c r="A86" s="40" t="str">
        <f t="shared" si="21"/>
        <v>SCHMDT-GPS</v>
      </c>
      <c r="B86" s="193" t="s">
        <v>154</v>
      </c>
      <c r="C86" s="193" t="s">
        <v>9</v>
      </c>
      <c r="D86" s="193" t="s">
        <v>88</v>
      </c>
      <c r="E86" s="238">
        <v>87594.728999999788</v>
      </c>
      <c r="F86" s="238">
        <f t="shared" si="32"/>
        <v>44202.819555549562</v>
      </c>
      <c r="G86" s="238">
        <f t="shared" si="33"/>
        <v>20359.131794420831</v>
      </c>
      <c r="H86" s="238">
        <f t="shared" si="34"/>
        <v>23032.777650029406</v>
      </c>
      <c r="I86" s="238">
        <f t="shared" si="35"/>
        <v>0</v>
      </c>
      <c r="J86" s="238">
        <f t="shared" si="36"/>
        <v>0</v>
      </c>
      <c r="L86" s="199"/>
    </row>
    <row r="87" spans="1:12">
      <c r="A87" s="40" t="str">
        <f t="shared" si="21"/>
        <v>SCHMDT-SG</v>
      </c>
      <c r="B87" s="193" t="s">
        <v>154</v>
      </c>
      <c r="C87" s="193" t="s">
        <v>83</v>
      </c>
      <c r="D87" s="193" t="s">
        <v>64</v>
      </c>
      <c r="E87" s="238">
        <v>111759.79399999999</v>
      </c>
      <c r="F87" s="238">
        <f t="shared" si="32"/>
        <v>111759.79399999999</v>
      </c>
      <c r="G87" s="238">
        <f t="shared" si="33"/>
        <v>0</v>
      </c>
      <c r="H87" s="238">
        <f t="shared" si="34"/>
        <v>0</v>
      </c>
      <c r="I87" s="238">
        <f t="shared" si="35"/>
        <v>0</v>
      </c>
      <c r="J87" s="238">
        <f t="shared" si="36"/>
        <v>0</v>
      </c>
      <c r="L87" s="199"/>
    </row>
    <row r="88" spans="1:12">
      <c r="A88" s="40" t="str">
        <f t="shared" ref="A88:A89" si="37">IF(C88="","",B88&amp;"-"&amp;C88)</f>
        <v>SCHMDT-SG</v>
      </c>
      <c r="B88" s="193" t="s">
        <v>154</v>
      </c>
      <c r="C88" s="193" t="s">
        <v>83</v>
      </c>
      <c r="D88" s="193" t="s">
        <v>106</v>
      </c>
      <c r="E88" s="238">
        <v>0</v>
      </c>
      <c r="F88" s="238">
        <f t="shared" si="32"/>
        <v>0</v>
      </c>
      <c r="G88" s="238">
        <f t="shared" si="33"/>
        <v>0</v>
      </c>
      <c r="H88" s="238">
        <f t="shared" si="34"/>
        <v>0</v>
      </c>
      <c r="I88" s="238">
        <f t="shared" si="35"/>
        <v>0</v>
      </c>
      <c r="J88" s="238">
        <f t="shared" si="36"/>
        <v>0</v>
      </c>
      <c r="L88" s="199"/>
    </row>
    <row r="89" spans="1:12">
      <c r="A89" s="40" t="str">
        <f t="shared" si="37"/>
        <v>SCHMDT-SG</v>
      </c>
      <c r="B89" s="193" t="s">
        <v>154</v>
      </c>
      <c r="C89" s="193" t="s">
        <v>83</v>
      </c>
      <c r="D89" s="193" t="s">
        <v>65</v>
      </c>
      <c r="E89" s="238">
        <v>265.221</v>
      </c>
      <c r="F89" s="238">
        <f t="shared" si="32"/>
        <v>0</v>
      </c>
      <c r="G89" s="238">
        <f t="shared" si="33"/>
        <v>265.221</v>
      </c>
      <c r="H89" s="238">
        <f t="shared" si="34"/>
        <v>0</v>
      </c>
      <c r="I89" s="238">
        <f t="shared" si="35"/>
        <v>0</v>
      </c>
      <c r="J89" s="238">
        <f t="shared" si="36"/>
        <v>0</v>
      </c>
      <c r="L89" s="199"/>
    </row>
    <row r="90" spans="1:12">
      <c r="A90" s="40" t="str">
        <f t="shared" si="21"/>
        <v>SCHMDT-SE</v>
      </c>
      <c r="B90" s="193" t="s">
        <v>154</v>
      </c>
      <c r="C90" s="193" t="s">
        <v>81</v>
      </c>
      <c r="D90" s="193" t="s">
        <v>64</v>
      </c>
      <c r="E90" s="238">
        <v>34580.841999999997</v>
      </c>
      <c r="F90" s="238">
        <f t="shared" si="32"/>
        <v>34580.841999999997</v>
      </c>
      <c r="G90" s="238">
        <f t="shared" si="33"/>
        <v>0</v>
      </c>
      <c r="H90" s="238">
        <f t="shared" si="34"/>
        <v>0</v>
      </c>
      <c r="I90" s="238">
        <f t="shared" si="35"/>
        <v>0</v>
      </c>
      <c r="J90" s="238">
        <f t="shared" si="36"/>
        <v>0</v>
      </c>
      <c r="L90" s="199"/>
    </row>
    <row r="91" spans="1:12">
      <c r="A91" s="40" t="str">
        <f t="shared" si="21"/>
        <v>SCHMDT-SE</v>
      </c>
      <c r="B91" s="193" t="s">
        <v>154</v>
      </c>
      <c r="C91" s="193" t="s">
        <v>81</v>
      </c>
      <c r="D91" s="193" t="s">
        <v>98</v>
      </c>
      <c r="E91" s="238">
        <v>-22.068999999999999</v>
      </c>
      <c r="F91" s="238">
        <f t="shared" si="32"/>
        <v>-9.718691930817684</v>
      </c>
      <c r="G91" s="238">
        <f t="shared" si="33"/>
        <v>-1.6198385221873435</v>
      </c>
      <c r="H91" s="238">
        <f t="shared" si="34"/>
        <v>-7.5073392474390062</v>
      </c>
      <c r="I91" s="238">
        <f t="shared" si="35"/>
        <v>-3.2231302995559661</v>
      </c>
      <c r="J91" s="238">
        <f t="shared" si="36"/>
        <v>0</v>
      </c>
      <c r="L91" s="199"/>
    </row>
    <row r="92" spans="1:12">
      <c r="A92" s="40" t="str">
        <f t="shared" si="21"/>
        <v>SCHMDT-SNP</v>
      </c>
      <c r="B92" s="193" t="s">
        <v>154</v>
      </c>
      <c r="C92" s="193" t="s">
        <v>7</v>
      </c>
      <c r="D92" s="193" t="s">
        <v>88</v>
      </c>
      <c r="E92" s="238">
        <v>87171.793000000005</v>
      </c>
      <c r="F92" s="238">
        <f t="shared" si="32"/>
        <v>43989.393885934936</v>
      </c>
      <c r="G92" s="238">
        <f t="shared" si="33"/>
        <v>20260.83124753974</v>
      </c>
      <c r="H92" s="238">
        <f t="shared" si="34"/>
        <v>22921.567866525333</v>
      </c>
      <c r="I92" s="238">
        <f t="shared" si="35"/>
        <v>0</v>
      </c>
      <c r="J92" s="238">
        <f t="shared" si="36"/>
        <v>0</v>
      </c>
    </row>
    <row r="93" spans="1:12">
      <c r="A93" s="40" t="str">
        <f t="shared" si="21"/>
        <v>SCHMDT-SO</v>
      </c>
      <c r="B93" s="193" t="s">
        <v>154</v>
      </c>
      <c r="C93" s="193" t="s">
        <v>85</v>
      </c>
      <c r="D93" s="193" t="s">
        <v>96</v>
      </c>
      <c r="E93" s="262">
        <v>13680.869000000001</v>
      </c>
      <c r="F93" s="238">
        <f t="shared" si="32"/>
        <v>4104.2606999999998</v>
      </c>
      <c r="G93" s="238">
        <f t="shared" si="33"/>
        <v>1368.0869000000002</v>
      </c>
      <c r="H93" s="238">
        <f t="shared" si="34"/>
        <v>8208.5213999999996</v>
      </c>
      <c r="I93" s="238">
        <f t="shared" si="35"/>
        <v>0</v>
      </c>
      <c r="J93" s="238">
        <f t="shared" si="36"/>
        <v>0</v>
      </c>
    </row>
    <row r="94" spans="1:12">
      <c r="A94" s="40" t="str">
        <f t="shared" si="21"/>
        <v>SCHMDT-SO</v>
      </c>
      <c r="B94" s="193" t="s">
        <v>154</v>
      </c>
      <c r="C94" s="193" t="s">
        <v>85</v>
      </c>
      <c r="D94" s="193" t="s">
        <v>106</v>
      </c>
      <c r="E94" s="238">
        <v>9172.2510000000002</v>
      </c>
      <c r="F94" s="238">
        <f t="shared" si="32"/>
        <v>4630.6229079117948</v>
      </c>
      <c r="G94" s="238">
        <f t="shared" si="33"/>
        <v>2101.4007185320929</v>
      </c>
      <c r="H94" s="238">
        <f t="shared" si="34"/>
        <v>2386.988603722586</v>
      </c>
      <c r="I94" s="238">
        <f t="shared" si="35"/>
        <v>53.238769833527236</v>
      </c>
      <c r="J94" s="238">
        <f t="shared" si="36"/>
        <v>0</v>
      </c>
    </row>
    <row r="95" spans="1:12">
      <c r="A95" s="40" t="str">
        <f t="shared" si="21"/>
        <v>SCHMDT-SO</v>
      </c>
      <c r="B95" s="193" t="s">
        <v>154</v>
      </c>
      <c r="C95" s="193" t="s">
        <v>85</v>
      </c>
      <c r="D95" s="193" t="s">
        <v>98</v>
      </c>
      <c r="E95" s="238">
        <v>-44985.587</v>
      </c>
      <c r="F95" s="238">
        <f t="shared" si="32"/>
        <v>-19810.642139652766</v>
      </c>
      <c r="G95" s="238">
        <f t="shared" si="33"/>
        <v>-3301.8889286243225</v>
      </c>
      <c r="H95" s="238">
        <f t="shared" si="34"/>
        <v>-15303.007062131584</v>
      </c>
      <c r="I95" s="238">
        <f t="shared" si="35"/>
        <v>-6570.0488695913255</v>
      </c>
      <c r="J95" s="238">
        <f t="shared" si="36"/>
        <v>0</v>
      </c>
    </row>
    <row r="96" spans="1:12">
      <c r="A96" s="40" t="str">
        <f t="shared" si="21"/>
        <v>SCHMDT-SO</v>
      </c>
      <c r="B96" s="193" t="s">
        <v>154</v>
      </c>
      <c r="C96" s="193" t="s">
        <v>85</v>
      </c>
      <c r="D96" s="193" t="s">
        <v>88</v>
      </c>
      <c r="E96" s="256">
        <v>61.449999999999932</v>
      </c>
      <c r="F96" s="238">
        <f t="shared" si="32"/>
        <v>31.009437356539159</v>
      </c>
      <c r="G96" s="238">
        <f t="shared" si="33"/>
        <v>14.282464973059756</v>
      </c>
      <c r="H96" s="238">
        <f t="shared" si="34"/>
        <v>16.158097670401023</v>
      </c>
      <c r="I96" s="238">
        <f t="shared" si="35"/>
        <v>0</v>
      </c>
      <c r="J96" s="238">
        <f t="shared" si="36"/>
        <v>0</v>
      </c>
    </row>
    <row r="97" spans="1:12">
      <c r="A97" s="40" t="str">
        <f t="shared" si="21"/>
        <v>SCHMDT-OTHER</v>
      </c>
      <c r="B97" s="193" t="s">
        <v>154</v>
      </c>
      <c r="C97" s="193" t="s">
        <v>288</v>
      </c>
      <c r="D97" s="193" t="s">
        <v>69</v>
      </c>
      <c r="E97" s="238">
        <v>0</v>
      </c>
      <c r="F97" s="238">
        <f t="shared" si="32"/>
        <v>0</v>
      </c>
      <c r="G97" s="238">
        <f t="shared" si="33"/>
        <v>0</v>
      </c>
      <c r="H97" s="238">
        <f t="shared" si="34"/>
        <v>0</v>
      </c>
      <c r="I97" s="238">
        <f t="shared" si="35"/>
        <v>0</v>
      </c>
      <c r="J97" s="238">
        <f t="shared" si="36"/>
        <v>0</v>
      </c>
      <c r="L97" s="199"/>
    </row>
    <row r="98" spans="1:12">
      <c r="A98" s="40" t="str">
        <f t="shared" ref="A98:A102" si="38">IF(C98="","",B98&amp;"-"&amp;C98)</f>
        <v>SCHMDT-OTHER</v>
      </c>
      <c r="B98" s="193" t="s">
        <v>154</v>
      </c>
      <c r="C98" s="193" t="s">
        <v>288</v>
      </c>
      <c r="D98" s="193" t="s">
        <v>70</v>
      </c>
      <c r="E98" s="238">
        <v>22087.832999999999</v>
      </c>
      <c r="F98" s="238">
        <f t="shared" si="32"/>
        <v>0</v>
      </c>
      <c r="G98" s="238">
        <f t="shared" si="33"/>
        <v>0</v>
      </c>
      <c r="H98" s="238">
        <f t="shared" si="34"/>
        <v>0</v>
      </c>
      <c r="I98" s="238">
        <f t="shared" si="35"/>
        <v>0</v>
      </c>
      <c r="J98" s="238">
        <f t="shared" si="36"/>
        <v>22087.832999999999</v>
      </c>
      <c r="L98" s="199"/>
    </row>
    <row r="99" spans="1:12">
      <c r="A99" s="40" t="str">
        <f t="shared" si="38"/>
        <v>SCHMDT-OTHER</v>
      </c>
      <c r="B99" s="193" t="s">
        <v>154</v>
      </c>
      <c r="C99" s="193" t="s">
        <v>288</v>
      </c>
      <c r="D99" s="193" t="s">
        <v>66</v>
      </c>
      <c r="E99" s="238">
        <v>5.2480000000000002</v>
      </c>
      <c r="F99" s="238">
        <f t="shared" si="32"/>
        <v>0</v>
      </c>
      <c r="G99" s="238">
        <f t="shared" si="33"/>
        <v>0</v>
      </c>
      <c r="H99" s="238">
        <f t="shared" si="34"/>
        <v>5.2480000000000002</v>
      </c>
      <c r="I99" s="238">
        <f t="shared" si="35"/>
        <v>0</v>
      </c>
      <c r="J99" s="238">
        <f t="shared" si="36"/>
        <v>0</v>
      </c>
      <c r="L99" s="199"/>
    </row>
    <row r="100" spans="1:12">
      <c r="A100" s="40" t="str">
        <f t="shared" si="38"/>
        <v>SCHMDT-OTHER</v>
      </c>
      <c r="B100" s="193" t="s">
        <v>154</v>
      </c>
      <c r="C100" s="193" t="s">
        <v>288</v>
      </c>
      <c r="D100" s="193" t="s">
        <v>98</v>
      </c>
      <c r="E100" s="238">
        <v>429.10700000000003</v>
      </c>
      <c r="F100" s="238">
        <f t="shared" si="32"/>
        <v>188.96908506762355</v>
      </c>
      <c r="G100" s="238">
        <f t="shared" si="33"/>
        <v>31.49594674612554</v>
      </c>
      <c r="H100" s="238">
        <f t="shared" si="34"/>
        <v>145.97180762385292</v>
      </c>
      <c r="I100" s="238">
        <f t="shared" si="35"/>
        <v>62.670160562398024</v>
      </c>
      <c r="J100" s="238">
        <f t="shared" si="36"/>
        <v>0</v>
      </c>
      <c r="L100" s="199"/>
    </row>
    <row r="101" spans="1:12">
      <c r="A101" s="40" t="str">
        <f t="shared" si="38"/>
        <v>SCHMDT-OTHER</v>
      </c>
      <c r="B101" s="193" t="s">
        <v>154</v>
      </c>
      <c r="C101" s="193" t="s">
        <v>288</v>
      </c>
      <c r="D101" s="193" t="s">
        <v>64</v>
      </c>
      <c r="E101" s="238">
        <v>56435.67300000001</v>
      </c>
      <c r="F101" s="238">
        <f t="shared" si="32"/>
        <v>56435.67300000001</v>
      </c>
      <c r="G101" s="238">
        <f t="shared" si="33"/>
        <v>0</v>
      </c>
      <c r="H101" s="238">
        <f t="shared" si="34"/>
        <v>0</v>
      </c>
      <c r="I101" s="238">
        <f t="shared" si="35"/>
        <v>0</v>
      </c>
      <c r="J101" s="238">
        <f t="shared" si="36"/>
        <v>0</v>
      </c>
      <c r="L101" s="199"/>
    </row>
    <row r="102" spans="1:12">
      <c r="A102" s="40" t="str">
        <f t="shared" si="38"/>
        <v>SCHMDT-OTHER</v>
      </c>
      <c r="B102" s="193" t="s">
        <v>154</v>
      </c>
      <c r="C102" s="193" t="s">
        <v>288</v>
      </c>
      <c r="D102" s="193" t="s">
        <v>167</v>
      </c>
      <c r="E102" s="238">
        <v>-6907.9070000000002</v>
      </c>
      <c r="F102" s="238">
        <f t="shared" si="32"/>
        <v>-4729.5498392282989</v>
      </c>
      <c r="G102" s="238">
        <f t="shared" si="33"/>
        <v>-2178.3571607717017</v>
      </c>
      <c r="H102" s="238">
        <f t="shared" si="34"/>
        <v>0</v>
      </c>
      <c r="I102" s="238">
        <f t="shared" si="35"/>
        <v>0</v>
      </c>
      <c r="J102" s="238">
        <f t="shared" si="36"/>
        <v>0</v>
      </c>
      <c r="L102" s="199"/>
    </row>
    <row r="103" spans="1:12">
      <c r="A103" s="40" t="str">
        <f t="shared" ref="A103" si="39">IF(C103="","",B103&amp;"-"&amp;C103)</f>
        <v>SCHMDT-OTHER</v>
      </c>
      <c r="B103" s="193" t="s">
        <v>154</v>
      </c>
      <c r="C103" s="193" t="s">
        <v>288</v>
      </c>
      <c r="D103" s="193" t="s">
        <v>88</v>
      </c>
      <c r="E103" s="238">
        <v>1985.3139999999999</v>
      </c>
      <c r="F103" s="238">
        <f t="shared" si="32"/>
        <v>1001.846543792681</v>
      </c>
      <c r="G103" s="238">
        <f t="shared" si="33"/>
        <v>461.43494980512912</v>
      </c>
      <c r="H103" s="238">
        <f t="shared" si="34"/>
        <v>522.03250640218994</v>
      </c>
      <c r="I103" s="238">
        <f t="shared" si="35"/>
        <v>0</v>
      </c>
      <c r="J103" s="238">
        <f t="shared" si="36"/>
        <v>0</v>
      </c>
      <c r="L103" s="199"/>
    </row>
    <row r="104" spans="1:12">
      <c r="A104" s="40" t="str">
        <f t="shared" si="21"/>
        <v>SCHMDT-TAXDEPR</v>
      </c>
      <c r="B104" s="193" t="s">
        <v>154</v>
      </c>
      <c r="C104" s="193" t="s">
        <v>107</v>
      </c>
      <c r="D104" s="193" t="s">
        <v>107</v>
      </c>
      <c r="E104" s="238">
        <v>1194521.703</v>
      </c>
      <c r="F104" s="238">
        <f t="shared" si="32"/>
        <v>709026.71762846678</v>
      </c>
      <c r="G104" s="238">
        <f t="shared" si="33"/>
        <v>228719.128257103</v>
      </c>
      <c r="H104" s="238">
        <f t="shared" si="34"/>
        <v>251797.51152981675</v>
      </c>
      <c r="I104" s="238">
        <f t="shared" si="35"/>
        <v>4978.3455846133966</v>
      </c>
      <c r="J104" s="238">
        <f t="shared" si="36"/>
        <v>0</v>
      </c>
      <c r="L104" s="199"/>
    </row>
    <row r="105" spans="1:12">
      <c r="A105" s="40" t="str">
        <f t="shared" si="21"/>
        <v>SCHMDT-SITUS</v>
      </c>
      <c r="B105" s="193" t="s">
        <v>154</v>
      </c>
      <c r="C105" s="193" t="s">
        <v>12</v>
      </c>
      <c r="D105" s="193" t="s">
        <v>70</v>
      </c>
      <c r="E105" s="238">
        <v>-451.40000000000015</v>
      </c>
      <c r="F105" s="238">
        <f t="shared" si="32"/>
        <v>0</v>
      </c>
      <c r="G105" s="238">
        <f t="shared" si="33"/>
        <v>0</v>
      </c>
      <c r="H105" s="238">
        <f t="shared" si="34"/>
        <v>0</v>
      </c>
      <c r="I105" s="238">
        <f t="shared" si="35"/>
        <v>0</v>
      </c>
      <c r="J105" s="238">
        <f t="shared" si="36"/>
        <v>-451.40000000000015</v>
      </c>
      <c r="L105" s="199"/>
    </row>
    <row r="106" spans="1:12">
      <c r="A106" s="40" t="str">
        <f>IF(C106="","",B106&amp;"-"&amp;C106)</f>
        <v>SCHMDT-SITUS</v>
      </c>
      <c r="B106" s="193" t="s">
        <v>154</v>
      </c>
      <c r="C106" s="193" t="s">
        <v>12</v>
      </c>
      <c r="D106" s="193" t="s">
        <v>66</v>
      </c>
      <c r="E106" s="238">
        <v>0</v>
      </c>
      <c r="F106" s="238">
        <f t="shared" si="32"/>
        <v>0</v>
      </c>
      <c r="G106" s="238">
        <f t="shared" si="33"/>
        <v>0</v>
      </c>
      <c r="H106" s="238">
        <f t="shared" si="34"/>
        <v>0</v>
      </c>
      <c r="I106" s="238">
        <f t="shared" si="35"/>
        <v>0</v>
      </c>
      <c r="J106" s="238">
        <f t="shared" si="36"/>
        <v>0</v>
      </c>
      <c r="L106" s="199"/>
    </row>
    <row r="107" spans="1:12">
      <c r="A107" s="40" t="str">
        <f t="shared" si="21"/>
        <v>SCHMDT-SITUS</v>
      </c>
      <c r="B107" s="193" t="s">
        <v>154</v>
      </c>
      <c r="C107" s="193" t="s">
        <v>12</v>
      </c>
      <c r="D107" s="193" t="s">
        <v>106</v>
      </c>
      <c r="E107" s="238">
        <v>4700.9629999999997</v>
      </c>
      <c r="F107" s="238">
        <f t="shared" si="32"/>
        <v>2373.2873159539304</v>
      </c>
      <c r="G107" s="238">
        <f t="shared" si="33"/>
        <v>1077.0101064605387</v>
      </c>
      <c r="H107" s="238">
        <f t="shared" si="34"/>
        <v>1223.3796379450953</v>
      </c>
      <c r="I107" s="238">
        <f t="shared" si="35"/>
        <v>27.285939640435885</v>
      </c>
      <c r="J107" s="238">
        <f t="shared" si="36"/>
        <v>0</v>
      </c>
      <c r="L107" s="199"/>
    </row>
    <row r="108" spans="1:12">
      <c r="A108" s="40" t="str">
        <f t="shared" si="21"/>
        <v>SCHMDT-SITUS</v>
      </c>
      <c r="B108" s="193" t="s">
        <v>154</v>
      </c>
      <c r="C108" s="193" t="s">
        <v>12</v>
      </c>
      <c r="D108" s="193" t="s">
        <v>98</v>
      </c>
      <c r="E108" s="238">
        <v>0</v>
      </c>
      <c r="F108" s="238">
        <f t="shared" si="32"/>
        <v>0</v>
      </c>
      <c r="G108" s="238">
        <f t="shared" si="33"/>
        <v>0</v>
      </c>
      <c r="H108" s="238">
        <f t="shared" si="34"/>
        <v>0</v>
      </c>
      <c r="I108" s="238">
        <f t="shared" si="35"/>
        <v>0</v>
      </c>
      <c r="J108" s="238">
        <f t="shared" si="36"/>
        <v>0</v>
      </c>
      <c r="L108" s="199"/>
    </row>
    <row r="109" spans="1:12">
      <c r="A109" s="40" t="str">
        <f t="shared" si="21"/>
        <v>SCHMDT-SITUS</v>
      </c>
      <c r="B109" s="193" t="s">
        <v>154</v>
      </c>
      <c r="C109" s="193" t="s">
        <v>12</v>
      </c>
      <c r="D109" s="193" t="s">
        <v>64</v>
      </c>
      <c r="E109" s="238">
        <v>-3787.6030000000001</v>
      </c>
      <c r="F109" s="238">
        <f t="shared" si="32"/>
        <v>-3787.6030000000001</v>
      </c>
      <c r="G109" s="238">
        <f t="shared" si="33"/>
        <v>0</v>
      </c>
      <c r="H109" s="238">
        <f t="shared" si="34"/>
        <v>0</v>
      </c>
      <c r="I109" s="238">
        <f t="shared" si="35"/>
        <v>0</v>
      </c>
      <c r="J109" s="238">
        <f t="shared" si="36"/>
        <v>0</v>
      </c>
    </row>
    <row r="110" spans="1:12">
      <c r="A110" s="40" t="str">
        <f t="shared" si="21"/>
        <v>SCHMDT-SITUS</v>
      </c>
      <c r="B110" s="193" t="s">
        <v>154</v>
      </c>
      <c r="C110" s="193" t="s">
        <v>12</v>
      </c>
      <c r="D110" s="193" t="s">
        <v>88</v>
      </c>
      <c r="E110" s="238">
        <v>257.98199999999997</v>
      </c>
      <c r="F110" s="238">
        <f t="shared" si="32"/>
        <v>130.18513699128874</v>
      </c>
      <c r="G110" s="238">
        <f t="shared" si="33"/>
        <v>59.961251076971614</v>
      </c>
      <c r="H110" s="238">
        <f t="shared" si="34"/>
        <v>67.835611931739635</v>
      </c>
      <c r="I110" s="238">
        <f t="shared" si="35"/>
        <v>0</v>
      </c>
      <c r="J110" s="238">
        <f t="shared" si="36"/>
        <v>0</v>
      </c>
    </row>
    <row r="111" spans="1:12">
      <c r="A111" s="40" t="str">
        <f t="shared" si="21"/>
        <v>SCHMDT-SNPD</v>
      </c>
      <c r="B111" s="205" t="s">
        <v>154</v>
      </c>
      <c r="C111" s="205" t="s">
        <v>11</v>
      </c>
      <c r="D111" s="200" t="s">
        <v>66</v>
      </c>
      <c r="E111" s="263">
        <v>2156.223</v>
      </c>
      <c r="F111" s="263">
        <f t="shared" si="32"/>
        <v>0</v>
      </c>
      <c r="G111" s="263">
        <f t="shared" si="33"/>
        <v>0</v>
      </c>
      <c r="H111" s="263">
        <f t="shared" si="34"/>
        <v>2156.223</v>
      </c>
      <c r="I111" s="263">
        <f t="shared" si="35"/>
        <v>0</v>
      </c>
      <c r="J111" s="263">
        <f t="shared" si="36"/>
        <v>0</v>
      </c>
    </row>
    <row r="112" spans="1:12">
      <c r="A112" s="40" t="str">
        <f t="shared" si="21"/>
        <v/>
      </c>
      <c r="B112" s="135" t="s">
        <v>253</v>
      </c>
      <c r="C112" s="193"/>
      <c r="D112" s="198"/>
      <c r="E112" s="238">
        <f t="shared" ref="E112:J112" si="40">SUMIF($A:$A,"SCHMDT-GPS",E:E)</f>
        <v>87594.728999999788</v>
      </c>
      <c r="F112" s="238">
        <f t="shared" si="40"/>
        <v>44202.819555549562</v>
      </c>
      <c r="G112" s="238">
        <f t="shared" si="40"/>
        <v>20359.131794420831</v>
      </c>
      <c r="H112" s="238">
        <f t="shared" si="40"/>
        <v>23032.777650029406</v>
      </c>
      <c r="I112" s="238">
        <f t="shared" si="40"/>
        <v>0</v>
      </c>
      <c r="J112" s="238">
        <f t="shared" si="40"/>
        <v>0</v>
      </c>
    </row>
    <row r="113" spans="1:12">
      <c r="A113" s="40" t="str">
        <f t="shared" ref="A113" si="41">IF(C113="","",B113&amp;"-"&amp;C113)</f>
        <v/>
      </c>
      <c r="B113" s="135" t="s">
        <v>289</v>
      </c>
      <c r="C113" s="193"/>
      <c r="D113" s="198"/>
      <c r="E113" s="238">
        <f t="shared" ref="E113:J113" si="42">SUMIF($A:$A,"SCHMDT-CN",E:E)</f>
        <v>0</v>
      </c>
      <c r="F113" s="238">
        <f t="shared" si="42"/>
        <v>0</v>
      </c>
      <c r="G113" s="238">
        <f t="shared" si="42"/>
        <v>0</v>
      </c>
      <c r="H113" s="238">
        <f t="shared" si="42"/>
        <v>0</v>
      </c>
      <c r="I113" s="238">
        <f t="shared" si="42"/>
        <v>0</v>
      </c>
      <c r="J113" s="238">
        <f t="shared" si="42"/>
        <v>0</v>
      </c>
    </row>
    <row r="114" spans="1:12">
      <c r="A114" s="40" t="str">
        <f t="shared" si="21"/>
        <v/>
      </c>
      <c r="B114" s="135" t="s">
        <v>259</v>
      </c>
      <c r="C114" s="193"/>
      <c r="D114" s="198"/>
      <c r="E114" s="238">
        <f t="shared" ref="E114:J114" si="43">SUMIF($A:$A,"SCHMDT-SG",E:E)</f>
        <v>112025.015</v>
      </c>
      <c r="F114" s="238">
        <f t="shared" si="43"/>
        <v>111759.79399999999</v>
      </c>
      <c r="G114" s="238">
        <f t="shared" si="43"/>
        <v>265.221</v>
      </c>
      <c r="H114" s="238">
        <f t="shared" si="43"/>
        <v>0</v>
      </c>
      <c r="I114" s="238">
        <f t="shared" si="43"/>
        <v>0</v>
      </c>
      <c r="J114" s="238">
        <f t="shared" si="43"/>
        <v>0</v>
      </c>
    </row>
    <row r="115" spans="1:12">
      <c r="A115" s="40" t="str">
        <f t="shared" ref="A115" si="44">IF(C115="","",B115&amp;"-"&amp;C115)</f>
        <v/>
      </c>
      <c r="B115" s="135" t="s">
        <v>287</v>
      </c>
      <c r="C115" s="193"/>
      <c r="D115" s="198"/>
      <c r="E115" s="238">
        <f t="shared" ref="E115:J115" si="45">SUMIF($A:$A,"SCHMDT-SE",E:E)</f>
        <v>34558.772999999994</v>
      </c>
      <c r="F115" s="238">
        <f t="shared" si="45"/>
        <v>34571.123308069182</v>
      </c>
      <c r="G115" s="238">
        <f t="shared" si="45"/>
        <v>-1.6198385221873435</v>
      </c>
      <c r="H115" s="238">
        <f t="shared" si="45"/>
        <v>-7.5073392474390062</v>
      </c>
      <c r="I115" s="238">
        <f t="shared" si="45"/>
        <v>-3.2231302995559661</v>
      </c>
      <c r="J115" s="238">
        <f t="shared" si="45"/>
        <v>0</v>
      </c>
    </row>
    <row r="116" spans="1:12">
      <c r="A116" s="40" t="str">
        <f t="shared" si="21"/>
        <v/>
      </c>
      <c r="B116" s="135" t="s">
        <v>254</v>
      </c>
      <c r="C116" s="193"/>
      <c r="D116" s="198"/>
      <c r="E116" s="238">
        <f t="shared" ref="E116:J116" si="46">SUMIF($A:$A,"SCHMDT-SNP",E:E)</f>
        <v>87171.793000000005</v>
      </c>
      <c r="F116" s="238">
        <f t="shared" si="46"/>
        <v>43989.393885934936</v>
      </c>
      <c r="G116" s="238">
        <f t="shared" si="46"/>
        <v>20260.83124753974</v>
      </c>
      <c r="H116" s="238">
        <f t="shared" si="46"/>
        <v>22921.567866525333</v>
      </c>
      <c r="I116" s="238">
        <f t="shared" si="46"/>
        <v>0</v>
      </c>
      <c r="J116" s="238">
        <f t="shared" si="46"/>
        <v>0</v>
      </c>
    </row>
    <row r="117" spans="1:12">
      <c r="A117" s="40" t="str">
        <f t="shared" si="21"/>
        <v/>
      </c>
      <c r="B117" s="136" t="s">
        <v>255</v>
      </c>
      <c r="C117" s="193"/>
      <c r="D117" s="198"/>
      <c r="E117" s="238">
        <f t="shared" ref="E117:J117" si="47">SUMIF($A:$A,"SCHMDT-SO",E:E)</f>
        <v>-22071.016999999996</v>
      </c>
      <c r="F117" s="238">
        <f t="shared" si="47"/>
        <v>-11044.749094384433</v>
      </c>
      <c r="G117" s="238">
        <f t="shared" si="47"/>
        <v>181.88115488083042</v>
      </c>
      <c r="H117" s="238">
        <f t="shared" si="47"/>
        <v>-4691.338960738598</v>
      </c>
      <c r="I117" s="238">
        <f t="shared" si="47"/>
        <v>-6516.8100997577985</v>
      </c>
      <c r="J117" s="238">
        <f t="shared" si="47"/>
        <v>0</v>
      </c>
    </row>
    <row r="118" spans="1:12">
      <c r="A118" s="40" t="str">
        <f t="shared" ref="A118" si="48">IF(C118="","",B118&amp;"-"&amp;C118)</f>
        <v/>
      </c>
      <c r="B118" s="136" t="s">
        <v>292</v>
      </c>
      <c r="C118" s="193"/>
      <c r="D118" s="198"/>
      <c r="E118" s="238">
        <f t="shared" ref="E118:J118" si="49">SUMIF($A:$A,"SCHMDT-OTHER",E:E)</f>
        <v>74035.267999999996</v>
      </c>
      <c r="F118" s="238">
        <f t="shared" si="49"/>
        <v>52896.938789632019</v>
      </c>
      <c r="G118" s="238">
        <f t="shared" si="49"/>
        <v>-1685.4262642204471</v>
      </c>
      <c r="H118" s="238">
        <f t="shared" si="49"/>
        <v>673.25231402604288</v>
      </c>
      <c r="I118" s="238">
        <f t="shared" si="49"/>
        <v>62.670160562398024</v>
      </c>
      <c r="J118" s="238">
        <f t="shared" si="49"/>
        <v>22087.832999999999</v>
      </c>
    </row>
    <row r="119" spans="1:12">
      <c r="A119" s="40" t="str">
        <f t="shared" ref="A119" si="50">IF(C119="","",B119&amp;"-"&amp;C119)</f>
        <v/>
      </c>
      <c r="B119" s="136" t="s">
        <v>294</v>
      </c>
      <c r="C119" s="193"/>
      <c r="D119" s="198"/>
      <c r="E119" s="238">
        <f t="shared" ref="E119:J119" si="51">SUMIF($A:$A,"SCHMDT-TAXDEPR",E:E)</f>
        <v>1194521.703</v>
      </c>
      <c r="F119" s="238">
        <f t="shared" si="51"/>
        <v>709026.71762846678</v>
      </c>
      <c r="G119" s="238">
        <f t="shared" si="51"/>
        <v>228719.128257103</v>
      </c>
      <c r="H119" s="238">
        <f t="shared" si="51"/>
        <v>251797.51152981675</v>
      </c>
      <c r="I119" s="238">
        <f t="shared" si="51"/>
        <v>4978.3455846133966</v>
      </c>
      <c r="J119" s="238">
        <f t="shared" si="51"/>
        <v>0</v>
      </c>
    </row>
    <row r="120" spans="1:12">
      <c r="A120" s="40" t="str">
        <f t="shared" si="21"/>
        <v/>
      </c>
      <c r="B120" s="135" t="s">
        <v>256</v>
      </c>
      <c r="C120" s="193"/>
      <c r="D120" s="198"/>
      <c r="E120" s="238">
        <f t="shared" ref="E120:J120" si="52">SUMIF($A:$A,"SCHMDT-SITUS",E:E)+SUMIF($A:$A,"SCHMDT-CN",E:E)</f>
        <v>719.9419999999991</v>
      </c>
      <c r="F120" s="238">
        <f t="shared" si="52"/>
        <v>-1284.1305470547809</v>
      </c>
      <c r="G120" s="238">
        <f t="shared" si="52"/>
        <v>1136.9713575375104</v>
      </c>
      <c r="H120" s="238">
        <f t="shared" si="52"/>
        <v>1291.2152498768348</v>
      </c>
      <c r="I120" s="238">
        <f t="shared" si="52"/>
        <v>27.285939640435885</v>
      </c>
      <c r="J120" s="238">
        <f t="shared" si="52"/>
        <v>-451.40000000000015</v>
      </c>
    </row>
    <row r="121" spans="1:12">
      <c r="A121" s="40" t="str">
        <f t="shared" si="21"/>
        <v/>
      </c>
      <c r="B121" s="136" t="s">
        <v>155</v>
      </c>
      <c r="C121" s="198"/>
      <c r="D121" s="198"/>
      <c r="E121" s="238">
        <f t="shared" ref="E121:J121" si="53">SUMIF($B:$B,"SCHMDT",E:E)</f>
        <v>1570712.4290000002</v>
      </c>
      <c r="F121" s="238">
        <f t="shared" si="53"/>
        <v>984117.90752621333</v>
      </c>
      <c r="G121" s="238">
        <f t="shared" si="53"/>
        <v>269236.11870873929</v>
      </c>
      <c r="H121" s="238">
        <f t="shared" si="53"/>
        <v>297173.70131028834</v>
      </c>
      <c r="I121" s="238">
        <f t="shared" si="53"/>
        <v>-1451.7315452411237</v>
      </c>
      <c r="J121" s="238">
        <f t="shared" si="53"/>
        <v>21636.432999999997</v>
      </c>
    </row>
    <row r="122" spans="1:12">
      <c r="A122" s="40" t="str">
        <f t="shared" si="21"/>
        <v/>
      </c>
      <c r="B122" s="136" t="s">
        <v>36</v>
      </c>
      <c r="C122" s="136"/>
      <c r="D122" s="198"/>
      <c r="E122" s="236">
        <f>SUM(F122:J122)</f>
        <v>1</v>
      </c>
      <c r="F122" s="237">
        <f t="shared" ref="F122:J131" si="54">IF(ISERROR(F112/$E112)," ",(F112/$E112))</f>
        <v>0.50462876088753772</v>
      </c>
      <c r="G122" s="237">
        <f t="shared" si="54"/>
        <v>0.23242416555019974</v>
      </c>
      <c r="H122" s="237">
        <f t="shared" si="54"/>
        <v>0.26294707356226266</v>
      </c>
      <c r="I122" s="237">
        <f t="shared" si="54"/>
        <v>0</v>
      </c>
      <c r="J122" s="237">
        <f t="shared" si="54"/>
        <v>0</v>
      </c>
      <c r="L122" s="199"/>
    </row>
    <row r="123" spans="1:12">
      <c r="A123" s="40" t="str">
        <f t="shared" ref="A123" si="55">IF(C123="","",B123&amp;"-"&amp;C123)</f>
        <v/>
      </c>
      <c r="B123" s="136" t="s">
        <v>290</v>
      </c>
      <c r="C123" s="136"/>
      <c r="D123" s="198"/>
      <c r="E123" s="236">
        <f>SUM(F123:J123)</f>
        <v>0</v>
      </c>
      <c r="F123" s="237" t="str">
        <f t="shared" si="54"/>
        <v xml:space="preserve"> </v>
      </c>
      <c r="G123" s="237" t="str">
        <f t="shared" si="54"/>
        <v xml:space="preserve"> </v>
      </c>
      <c r="H123" s="237" t="str">
        <f t="shared" si="54"/>
        <v xml:space="preserve"> </v>
      </c>
      <c r="I123" s="237" t="str">
        <f t="shared" si="54"/>
        <v xml:space="preserve"> </v>
      </c>
      <c r="J123" s="237" t="str">
        <f t="shared" si="54"/>
        <v xml:space="preserve"> </v>
      </c>
      <c r="L123" s="199"/>
    </row>
    <row r="124" spans="1:12">
      <c r="A124" s="40" t="str">
        <f t="shared" si="21"/>
        <v/>
      </c>
      <c r="B124" s="136" t="s">
        <v>38</v>
      </c>
      <c r="C124" s="136"/>
      <c r="D124" s="198"/>
      <c r="E124" s="236">
        <f t="shared" ref="E124:E131" si="56">SUM(F124:J124)</f>
        <v>1</v>
      </c>
      <c r="F124" s="237">
        <f t="shared" si="54"/>
        <v>0.99763248413758299</v>
      </c>
      <c r="G124" s="237">
        <f t="shared" si="54"/>
        <v>2.3675158624169791E-3</v>
      </c>
      <c r="H124" s="237">
        <f t="shared" si="54"/>
        <v>0</v>
      </c>
      <c r="I124" s="237">
        <f t="shared" si="54"/>
        <v>0</v>
      </c>
      <c r="J124" s="237">
        <f t="shared" si="54"/>
        <v>0</v>
      </c>
      <c r="L124" s="199"/>
    </row>
    <row r="125" spans="1:12">
      <c r="A125" s="40" t="str">
        <f t="shared" ref="A125" si="57">IF(C125="","",B125&amp;"-"&amp;C125)</f>
        <v/>
      </c>
      <c r="B125" s="136" t="s">
        <v>291</v>
      </c>
      <c r="C125" s="136"/>
      <c r="D125" s="198"/>
      <c r="E125" s="236">
        <f t="shared" ref="E125" si="58">SUM(F125:J125)</f>
        <v>1.0000000000000002</v>
      </c>
      <c r="F125" s="237">
        <f t="shared" si="54"/>
        <v>1.0003573711389924</v>
      </c>
      <c r="G125" s="237">
        <f t="shared" si="54"/>
        <v>-4.6871991728043809E-5</v>
      </c>
      <c r="H125" s="237">
        <f t="shared" si="54"/>
        <v>-2.1723396393266069E-4</v>
      </c>
      <c r="I125" s="237">
        <f t="shared" si="54"/>
        <v>-9.3265183331479008E-5</v>
      </c>
      <c r="J125" s="237">
        <f t="shared" si="54"/>
        <v>0</v>
      </c>
      <c r="L125" s="199"/>
    </row>
    <row r="126" spans="1:12">
      <c r="A126" s="40" t="str">
        <f t="shared" si="21"/>
        <v/>
      </c>
      <c r="B126" s="136" t="s">
        <v>40</v>
      </c>
      <c r="C126" s="136"/>
      <c r="D126" s="198"/>
      <c r="E126" s="236">
        <f t="shared" si="56"/>
        <v>1</v>
      </c>
      <c r="F126" s="237">
        <f t="shared" si="54"/>
        <v>0.50462876088753772</v>
      </c>
      <c r="G126" s="237">
        <f t="shared" si="54"/>
        <v>0.23242416555019968</v>
      </c>
      <c r="H126" s="237">
        <f t="shared" si="54"/>
        <v>0.26294707356226266</v>
      </c>
      <c r="I126" s="237">
        <f t="shared" si="54"/>
        <v>0</v>
      </c>
      <c r="J126" s="237">
        <f t="shared" si="54"/>
        <v>0</v>
      </c>
      <c r="L126" s="199"/>
    </row>
    <row r="127" spans="1:12">
      <c r="A127" s="40" t="str">
        <f t="shared" si="21"/>
        <v/>
      </c>
      <c r="B127" s="136" t="s">
        <v>42</v>
      </c>
      <c r="C127" s="136"/>
      <c r="D127" s="198"/>
      <c r="E127" s="236">
        <f t="shared" si="56"/>
        <v>1.0000000000000002</v>
      </c>
      <c r="F127" s="237">
        <f t="shared" si="54"/>
        <v>0.50041867551388475</v>
      </c>
      <c r="G127" s="237">
        <f t="shared" si="54"/>
        <v>-8.2407237908806129E-3</v>
      </c>
      <c r="H127" s="237">
        <f t="shared" si="54"/>
        <v>0.21255653786767501</v>
      </c>
      <c r="I127" s="237">
        <f t="shared" si="54"/>
        <v>0.29526551040932097</v>
      </c>
      <c r="J127" s="237">
        <f t="shared" si="54"/>
        <v>0</v>
      </c>
      <c r="L127" s="199"/>
    </row>
    <row r="128" spans="1:12">
      <c r="A128" s="40" t="str">
        <f t="shared" ref="A128" si="59">IF(C128="","",B128&amp;"-"&amp;C128)</f>
        <v/>
      </c>
      <c r="B128" s="136" t="s">
        <v>293</v>
      </c>
      <c r="C128" s="136"/>
      <c r="D128" s="198"/>
      <c r="E128" s="236">
        <f t="shared" ref="E128" si="60">SUM(F128:J128)</f>
        <v>1.0000000000000002</v>
      </c>
      <c r="F128" s="237">
        <f t="shared" si="54"/>
        <v>0.71448297843173902</v>
      </c>
      <c r="G128" s="237">
        <f t="shared" si="54"/>
        <v>-2.2765180835442472E-2</v>
      </c>
      <c r="H128" s="237">
        <f t="shared" si="54"/>
        <v>9.0936702495092326E-3</v>
      </c>
      <c r="I128" s="237">
        <f t="shared" si="54"/>
        <v>8.4649062879596829E-4</v>
      </c>
      <c r="J128" s="237">
        <f t="shared" si="54"/>
        <v>0.29834204152539839</v>
      </c>
      <c r="L128" s="199"/>
    </row>
    <row r="129" spans="1:12">
      <c r="A129" s="40" t="str">
        <f t="shared" ref="A129" si="61">IF(C129="","",B129&amp;"-"&amp;C129)</f>
        <v/>
      </c>
      <c r="B129" s="136" t="s">
        <v>295</v>
      </c>
      <c r="C129" s="136"/>
      <c r="D129" s="198"/>
      <c r="E129" s="236">
        <f t="shared" ref="E129" si="62">SUM(F129:J129)</f>
        <v>0.99999999999999989</v>
      </c>
      <c r="F129" s="237">
        <f t="shared" si="54"/>
        <v>0.59356537084907768</v>
      </c>
      <c r="G129" s="237">
        <f t="shared" si="54"/>
        <v>0.19147339699453164</v>
      </c>
      <c r="H129" s="237">
        <f t="shared" si="54"/>
        <v>0.21079358449280244</v>
      </c>
      <c r="I129" s="237">
        <f t="shared" si="54"/>
        <v>4.1676476635882408E-3</v>
      </c>
      <c r="J129" s="237">
        <f t="shared" si="54"/>
        <v>0</v>
      </c>
      <c r="L129" s="199"/>
    </row>
    <row r="130" spans="1:12">
      <c r="A130" s="40" t="str">
        <f t="shared" ref="A130:A141" si="63">IF(C130="","",B130&amp;"-"&amp;C130)</f>
        <v/>
      </c>
      <c r="B130" s="136" t="s">
        <v>44</v>
      </c>
      <c r="C130" s="136"/>
      <c r="D130" s="198"/>
      <c r="E130" s="236">
        <f t="shared" si="56"/>
        <v>1.0000000000000013</v>
      </c>
      <c r="F130" s="237">
        <f t="shared" si="54"/>
        <v>-1.7836583322750756</v>
      </c>
      <c r="G130" s="237">
        <f t="shared" si="54"/>
        <v>1.5792541031604099</v>
      </c>
      <c r="H130" s="237">
        <f t="shared" si="54"/>
        <v>1.7934989900253582</v>
      </c>
      <c r="I130" s="237">
        <f t="shared" si="54"/>
        <v>3.790019146047309E-2</v>
      </c>
      <c r="J130" s="237">
        <f t="shared" si="54"/>
        <v>-0.6269949523711642</v>
      </c>
    </row>
    <row r="131" spans="1:12">
      <c r="A131" s="40" t="str">
        <f t="shared" si="63"/>
        <v/>
      </c>
      <c r="B131" s="136" t="s">
        <v>156</v>
      </c>
      <c r="C131" s="136"/>
      <c r="D131" s="198"/>
      <c r="E131" s="236">
        <f t="shared" si="56"/>
        <v>0.99999999999999967</v>
      </c>
      <c r="F131" s="237">
        <f t="shared" si="54"/>
        <v>0.62654238252431449</v>
      </c>
      <c r="G131" s="237">
        <f t="shared" si="54"/>
        <v>0.17141019179440087</v>
      </c>
      <c r="H131" s="237">
        <f t="shared" si="54"/>
        <v>0.18919675926896756</v>
      </c>
      <c r="I131" s="237">
        <f t="shared" si="54"/>
        <v>-9.2425037100226802E-4</v>
      </c>
      <c r="J131" s="237">
        <f t="shared" si="54"/>
        <v>1.377491678331909E-2</v>
      </c>
    </row>
    <row r="132" spans="1:12">
      <c r="B132" s="257"/>
      <c r="C132" s="257"/>
      <c r="D132" s="198"/>
      <c r="E132" s="258"/>
      <c r="F132" s="259"/>
      <c r="G132" s="259"/>
      <c r="H132" s="259"/>
      <c r="I132" s="259"/>
      <c r="J132" s="259"/>
    </row>
    <row r="133" spans="1:12">
      <c r="A133" s="40" t="str">
        <f t="shared" si="63"/>
        <v>SCHMDF-DGP</v>
      </c>
      <c r="B133" s="198" t="s">
        <v>157</v>
      </c>
      <c r="C133" s="193" t="s">
        <v>100</v>
      </c>
      <c r="D133" s="198" t="s">
        <v>64</v>
      </c>
      <c r="E133" s="256">
        <v>0</v>
      </c>
      <c r="F133" s="238">
        <f>VLOOKUP($D133,$D$143:$J$154,3,FALSE)*$E133</f>
        <v>0</v>
      </c>
      <c r="G133" s="238">
        <f>VLOOKUP($D133,$D$143:$J$154,4,FALSE)*$E133</f>
        <v>0</v>
      </c>
      <c r="H133" s="238">
        <f>VLOOKUP($D133,$D$143:$J$154,5,FALSE)*$E133</f>
        <v>0</v>
      </c>
      <c r="I133" s="238">
        <f>VLOOKUP($D133,$D$143:$J$154,6,FALSE)*$E133</f>
        <v>0</v>
      </c>
      <c r="J133" s="238">
        <f>VLOOKUP($D133,$D$143:$J$154,7,FALSE)*$E133</f>
        <v>0</v>
      </c>
    </row>
    <row r="134" spans="1:12">
      <c r="A134" s="40" t="str">
        <f t="shared" si="63"/>
        <v/>
      </c>
      <c r="B134" s="136" t="s">
        <v>261</v>
      </c>
      <c r="E134" s="256">
        <f t="shared" ref="E134:J134" si="64">SUMIF($A:$A,"SCHMDF",E:E)</f>
        <v>0</v>
      </c>
      <c r="F134" s="256">
        <f t="shared" si="64"/>
        <v>0</v>
      </c>
      <c r="G134" s="256">
        <f t="shared" si="64"/>
        <v>0</v>
      </c>
      <c r="H134" s="256">
        <f t="shared" si="64"/>
        <v>0</v>
      </c>
      <c r="I134" s="256">
        <f t="shared" si="64"/>
        <v>0</v>
      </c>
      <c r="J134" s="256">
        <f t="shared" si="64"/>
        <v>0</v>
      </c>
    </row>
    <row r="135" spans="1:12">
      <c r="A135" s="40" t="str">
        <f t="shared" si="63"/>
        <v/>
      </c>
      <c r="B135" s="136" t="s">
        <v>158</v>
      </c>
      <c r="C135" s="136"/>
      <c r="D135" s="198"/>
      <c r="E135" s="236">
        <f>SUM(F135:J135)</f>
        <v>0</v>
      </c>
      <c r="F135" s="237" t="str">
        <f>IF(ISERROR(F134/$E134)," ",(F134/$E134))</f>
        <v xml:space="preserve"> </v>
      </c>
      <c r="G135" s="237" t="str">
        <f>IF(ISERROR(G134/$E134)," ",(G134/$E134))</f>
        <v xml:space="preserve"> </v>
      </c>
      <c r="H135" s="237" t="str">
        <f>IF(ISERROR(H134/$E134)," ",(H134/$E134))</f>
        <v xml:space="preserve"> </v>
      </c>
      <c r="I135" s="237" t="str">
        <f>IF(ISERROR(I134/$E134)," ",(I134/$E134))</f>
        <v xml:space="preserve"> </v>
      </c>
      <c r="J135" s="237" t="str">
        <f>IF(ISERROR(J134/$E134)," ",(J134/$E134))</f>
        <v xml:space="preserve"> </v>
      </c>
    </row>
    <row r="136" spans="1:12">
      <c r="B136" s="257"/>
      <c r="C136" s="257"/>
      <c r="D136" s="198"/>
      <c r="E136" s="258"/>
      <c r="F136" s="259"/>
      <c r="G136" s="259"/>
      <c r="H136" s="259"/>
      <c r="I136" s="259"/>
      <c r="J136" s="259"/>
    </row>
    <row r="137" spans="1:12">
      <c r="A137" s="40" t="str">
        <f t="shared" si="63"/>
        <v/>
      </c>
      <c r="B137" s="31" t="s">
        <v>262</v>
      </c>
      <c r="C137" s="198"/>
      <c r="D137" s="198"/>
      <c r="E137" s="238">
        <f t="shared" ref="E137:J137" si="65">SUM(E134,E121,E78)</f>
        <v>1571326.4509900003</v>
      </c>
      <c r="F137" s="238">
        <f t="shared" si="65"/>
        <v>984684.49639883952</v>
      </c>
      <c r="G137" s="238">
        <f t="shared" si="65"/>
        <v>269305.59758228413</v>
      </c>
      <c r="H137" s="238">
        <f t="shared" si="65"/>
        <v>297188.1140679344</v>
      </c>
      <c r="I137" s="238">
        <f t="shared" si="65"/>
        <v>-1488.1900590582725</v>
      </c>
      <c r="J137" s="238">
        <f t="shared" si="65"/>
        <v>21636.432999999997</v>
      </c>
    </row>
    <row r="138" spans="1:12">
      <c r="A138" s="40" t="str">
        <f t="shared" si="63"/>
        <v/>
      </c>
      <c r="B138" s="136" t="s">
        <v>159</v>
      </c>
      <c r="C138" s="136"/>
      <c r="D138" s="198"/>
      <c r="E138" s="236">
        <f>SUM(F138:J138)</f>
        <v>0.99999999999999967</v>
      </c>
      <c r="F138" s="237">
        <f>IF(ISERROR(F137/$E137)," ",(F137/$E137))</f>
        <v>0.6266581306376201</v>
      </c>
      <c r="G138" s="237">
        <f>IF(ISERROR(G137/$E137)," ",(G137/$E137))</f>
        <v>0.1713874271082311</v>
      </c>
      <c r="H138" s="237">
        <f>IF(ISERROR(H137/$E137)," ",(H137/$E137))</f>
        <v>0.18913199983408518</v>
      </c>
      <c r="I138" s="237">
        <f>IF(ISERROR(I137/$E137)," ",(I137/$E137))</f>
        <v>-9.4709158502401052E-4</v>
      </c>
      <c r="J138" s="237">
        <f>IF(ISERROR(J137/$E137)," ",(J137/$E137))</f>
        <v>1.376953400508733E-2</v>
      </c>
    </row>
    <row r="139" spans="1:12">
      <c r="B139" s="257"/>
      <c r="C139" s="257"/>
      <c r="D139" s="198"/>
      <c r="E139" s="258"/>
      <c r="F139" s="259"/>
      <c r="G139" s="259"/>
      <c r="H139" s="259"/>
      <c r="I139" s="259"/>
      <c r="J139" s="259"/>
    </row>
    <row r="140" spans="1:12">
      <c r="A140" s="40" t="str">
        <f t="shared" si="63"/>
        <v/>
      </c>
      <c r="B140" s="31" t="s">
        <v>160</v>
      </c>
      <c r="C140" s="198"/>
      <c r="D140" s="198"/>
      <c r="E140" s="82"/>
      <c r="F140" s="240"/>
      <c r="G140" s="198"/>
      <c r="H140" s="198"/>
      <c r="I140" s="198"/>
      <c r="J140" s="198"/>
    </row>
    <row r="141" spans="1:12">
      <c r="A141" s="40" t="str">
        <f t="shared" si="63"/>
        <v/>
      </c>
    </row>
    <row r="142" spans="1:12">
      <c r="E142" s="109" t="s">
        <v>68</v>
      </c>
      <c r="F142" s="109" t="s">
        <v>60</v>
      </c>
      <c r="G142" s="109" t="s">
        <v>61</v>
      </c>
      <c r="H142" s="109" t="s">
        <v>103</v>
      </c>
      <c r="I142" s="109" t="s">
        <v>104</v>
      </c>
      <c r="J142" s="109" t="s">
        <v>105</v>
      </c>
    </row>
    <row r="143" spans="1:12">
      <c r="D143" s="40" t="s">
        <v>70</v>
      </c>
      <c r="E143" s="264">
        <f>SUM(F143:J143)</f>
        <v>1</v>
      </c>
      <c r="F143" s="259">
        <v>0</v>
      </c>
      <c r="G143" s="259">
        <v>0</v>
      </c>
      <c r="H143" s="259">
        <v>0</v>
      </c>
      <c r="I143" s="259">
        <v>0</v>
      </c>
      <c r="J143" s="259">
        <v>1</v>
      </c>
    </row>
    <row r="144" spans="1:12">
      <c r="D144" s="40" t="s">
        <v>66</v>
      </c>
      <c r="E144" s="264">
        <f t="shared" ref="E144:E154" si="66">SUM(F144:J144)</f>
        <v>1</v>
      </c>
      <c r="F144" s="229">
        <v>0</v>
      </c>
      <c r="G144" s="229">
        <v>0</v>
      </c>
      <c r="H144" s="229">
        <v>1</v>
      </c>
      <c r="I144" s="229">
        <v>0</v>
      </c>
      <c r="J144" s="229">
        <v>0</v>
      </c>
    </row>
    <row r="145" spans="4:10">
      <c r="D145" s="40" t="s">
        <v>69</v>
      </c>
      <c r="E145" s="264">
        <f t="shared" si="66"/>
        <v>1</v>
      </c>
      <c r="F145" s="229">
        <v>0</v>
      </c>
      <c r="G145" s="229">
        <v>0</v>
      </c>
      <c r="H145" s="229">
        <v>0</v>
      </c>
      <c r="I145" s="229">
        <v>1</v>
      </c>
      <c r="J145" s="229">
        <v>0</v>
      </c>
    </row>
    <row r="146" spans="4:10">
      <c r="D146" s="40" t="s">
        <v>96</v>
      </c>
      <c r="E146" s="264">
        <f t="shared" si="66"/>
        <v>1</v>
      </c>
      <c r="F146" s="229">
        <v>0.3</v>
      </c>
      <c r="G146" s="229">
        <v>0.1</v>
      </c>
      <c r="H146" s="229">
        <v>0.6</v>
      </c>
      <c r="I146" s="229">
        <v>0</v>
      </c>
      <c r="J146" s="229">
        <v>0</v>
      </c>
    </row>
    <row r="147" spans="4:10">
      <c r="D147" s="40" t="s">
        <v>106</v>
      </c>
      <c r="E147" s="264">
        <f t="shared" si="66"/>
        <v>1</v>
      </c>
      <c r="F147" s="229">
        <f>'GROSS PLANT'!E43</f>
        <v>0.50485130726490091</v>
      </c>
      <c r="G147" s="229">
        <f>'GROSS PLANT'!F43</f>
        <v>0.2291041445041237</v>
      </c>
      <c r="H147" s="229">
        <f>'GROSS PLANT'!G43</f>
        <v>0.2602402184286699</v>
      </c>
      <c r="I147" s="229">
        <f>'GROSS PLANT'!H43</f>
        <v>5.8043298023055887E-3</v>
      </c>
      <c r="J147" s="229">
        <f>'GROSS PLANT'!I43</f>
        <v>0</v>
      </c>
    </row>
    <row r="148" spans="4:10">
      <c r="D148" s="40" t="s">
        <v>98</v>
      </c>
      <c r="E148" s="264">
        <f t="shared" si="66"/>
        <v>1</v>
      </c>
      <c r="F148" s="229">
        <f>'FORM 1'!C25</f>
        <v>0.44037754002527002</v>
      </c>
      <c r="G148" s="229">
        <f>'FORM 1'!D25</f>
        <v>7.3398818350960335E-2</v>
      </c>
      <c r="H148" s="229">
        <f>'FORM 1'!E25</f>
        <v>0.34017577812492666</v>
      </c>
      <c r="I148" s="229">
        <f>'FORM 1'!F25</f>
        <v>0.14604786349884299</v>
      </c>
      <c r="J148" s="229">
        <f>'FORM 1'!G25</f>
        <v>0</v>
      </c>
    </row>
    <row r="149" spans="4:10" ht="12" customHeight="1">
      <c r="D149" s="40" t="s">
        <v>64</v>
      </c>
      <c r="E149" s="264">
        <f t="shared" si="66"/>
        <v>1</v>
      </c>
      <c r="F149" s="229">
        <f>'FORM 1'!C13</f>
        <v>1</v>
      </c>
      <c r="G149" s="229">
        <f>'FORM 1'!D13</f>
        <v>0</v>
      </c>
      <c r="H149" s="229">
        <f>'FORM 1'!E13</f>
        <v>0</v>
      </c>
      <c r="I149" s="229">
        <f>'FORM 1'!F13</f>
        <v>0</v>
      </c>
      <c r="J149" s="229">
        <f>'FORM 1'!G13</f>
        <v>0</v>
      </c>
    </row>
    <row r="150" spans="4:10">
      <c r="D150" s="40" t="s">
        <v>167</v>
      </c>
      <c r="E150" s="264">
        <f>SUM(F150:J150)</f>
        <v>1</v>
      </c>
      <c r="F150" s="229">
        <f>+'FORM 1'!C17</f>
        <v>0.6846574279631007</v>
      </c>
      <c r="G150" s="229">
        <f>+'FORM 1'!D17</f>
        <v>0.31534257203689942</v>
      </c>
      <c r="H150" s="229">
        <v>0</v>
      </c>
      <c r="I150" s="229">
        <v>0</v>
      </c>
      <c r="J150" s="229">
        <v>0</v>
      </c>
    </row>
    <row r="151" spans="4:10">
      <c r="D151" s="40" t="s">
        <v>88</v>
      </c>
      <c r="E151" s="264">
        <f t="shared" si="66"/>
        <v>1</v>
      </c>
      <c r="F151" s="229">
        <f>'FORM 1'!C16</f>
        <v>0.50462876088753772</v>
      </c>
      <c r="G151" s="229">
        <f>'FORM 1'!D16</f>
        <v>0.23242416555019971</v>
      </c>
      <c r="H151" s="229">
        <f>'FORM 1'!E16</f>
        <v>0.26294707356226266</v>
      </c>
      <c r="I151" s="229">
        <f>'FORM 1'!F16</f>
        <v>0</v>
      </c>
      <c r="J151" s="229">
        <f>'FORM 1'!G16</f>
        <v>0</v>
      </c>
    </row>
    <row r="152" spans="4:10">
      <c r="D152" s="40" t="s">
        <v>65</v>
      </c>
      <c r="E152" s="264">
        <f t="shared" si="66"/>
        <v>1</v>
      </c>
      <c r="F152" s="229">
        <f>'FORM 1'!C14</f>
        <v>0</v>
      </c>
      <c r="G152" s="229">
        <f>'FORM 1'!D14</f>
        <v>1</v>
      </c>
      <c r="H152" s="229">
        <f>'FORM 1'!E14</f>
        <v>0</v>
      </c>
      <c r="I152" s="229">
        <f>'FORM 1'!F14</f>
        <v>0</v>
      </c>
      <c r="J152" s="229">
        <f>'FORM 1'!G14</f>
        <v>0</v>
      </c>
    </row>
    <row r="153" spans="4:10">
      <c r="D153" s="40" t="s">
        <v>107</v>
      </c>
      <c r="E153" s="264">
        <f t="shared" si="66"/>
        <v>0.99999999999999989</v>
      </c>
      <c r="F153" s="229">
        <f>'TAX DEPR'!C24</f>
        <v>0.59356537084907768</v>
      </c>
      <c r="G153" s="229">
        <f>'TAX DEPR'!D24</f>
        <v>0.19147339699453164</v>
      </c>
      <c r="H153" s="229">
        <f>'TAX DEPR'!E24</f>
        <v>0.21079358449280244</v>
      </c>
      <c r="I153" s="229">
        <f>'TAX DEPR'!F24</f>
        <v>4.1676476635882408E-3</v>
      </c>
      <c r="J153" s="229">
        <f>'TAX DEPR'!G24</f>
        <v>0</v>
      </c>
    </row>
    <row r="154" spans="4:10">
      <c r="D154" s="40" t="s">
        <v>92</v>
      </c>
      <c r="E154" s="264">
        <f t="shared" si="66"/>
        <v>1</v>
      </c>
      <c r="F154" s="229">
        <f>'FORM 1'!C18</f>
        <v>0</v>
      </c>
      <c r="G154" s="229">
        <f>'FORM 1'!D18</f>
        <v>0.46919188519427402</v>
      </c>
      <c r="H154" s="229">
        <f>'FORM 1'!E18</f>
        <v>0.53080811480572609</v>
      </c>
      <c r="I154" s="229">
        <f>'FORM 1'!F18</f>
        <v>0</v>
      </c>
      <c r="J154" s="229">
        <f>'FORM 1'!G18</f>
        <v>0</v>
      </c>
    </row>
    <row r="155" spans="4:10">
      <c r="F155" s="229"/>
      <c r="G155" s="229"/>
      <c r="H155" s="229"/>
      <c r="I155" s="229"/>
      <c r="J155" s="229"/>
    </row>
    <row r="167" spans="5:5">
      <c r="E167" s="265"/>
    </row>
  </sheetData>
  <customSheetViews>
    <customSheetView guid="{20A63875-964B-11D5-AAED-0004762A99E9}" showRuler="0">
      <selection activeCell="E4" sqref="E4"/>
      <rowBreaks count="4" manualBreakCount="4">
        <brk id="40" max="8" man="1"/>
        <brk id="77" max="8" man="1"/>
        <brk id="141" max="16383" man="1"/>
        <brk id="233" max="8" man="1"/>
      </rowBreaks>
      <pageMargins left="0.75" right="0.75" top="1" bottom="1" header="0.5" footer="0.5"/>
      <printOptions horizontalCentered="1"/>
      <pageSetup scale="78" fitToHeight="6" orientation="landscape" horizontalDpi="0" r:id="rId1"/>
      <headerFooter alignWithMargins="0">
        <oddFooter>&amp;L&amp;D&amp;C&amp;A Page &amp;P of &amp;N&amp;R&amp;F</oddFooter>
      </headerFooter>
    </customSheetView>
  </customSheetViews>
  <phoneticPr fontId="0" type="noConversion"/>
  <printOptions horizontalCentered="1"/>
  <pageMargins left="0.25" right="0.25" top="0.5" bottom="0.65" header="0.4" footer="0.2"/>
  <pageSetup scale="77" orientation="portrait" r:id="rId2"/>
  <headerFooter alignWithMargins="0">
    <oddFooter>&amp;LExhibit RMP_____(CCP-3)&amp;R&amp;F&amp;CTab 3 - Page 12 of 16</oddFooter>
  </headerFooter>
  <rowBreaks count="1" manualBreakCount="1">
    <brk id="1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24</vt:i4>
      </vt:variant>
    </vt:vector>
  </HeadingPairs>
  <TitlesOfParts>
    <vt:vector size="34" baseType="lpstr">
      <vt:lpstr>TOTAL FUNCFAC</vt:lpstr>
      <vt:lpstr>TAX DEPR</vt:lpstr>
      <vt:lpstr>GROSS PLANT</vt:lpstr>
      <vt:lpstr>FORM 1</vt:lpstr>
      <vt:lpstr>BOOKDPR</vt:lpstr>
      <vt:lpstr>OTHER REVENUE</vt:lpstr>
      <vt:lpstr>GENERAL PLANT</vt:lpstr>
      <vt:lpstr>INTANGIBLE PLANT</vt:lpstr>
      <vt:lpstr>SCH M</vt:lpstr>
      <vt:lpstr>DDS</vt:lpstr>
      <vt:lpstr>'GROSS PLANT'!FACTORS</vt:lpstr>
      <vt:lpstr>'INTANGIBLE PLANT'!FACTORS</vt:lpstr>
      <vt:lpstr>FACTORS</vt:lpstr>
      <vt:lpstr>PacifiCorp</vt:lpstr>
      <vt:lpstr>page1</vt:lpstr>
      <vt:lpstr>page10</vt:lpstr>
      <vt:lpstr>page11</vt:lpstr>
      <vt:lpstr>page12</vt:lpstr>
      <vt:lpstr>page13</vt:lpstr>
      <vt:lpstr>page14</vt:lpstr>
      <vt:lpstr>page15</vt:lpstr>
      <vt:lpstr>page16</vt:lpstr>
      <vt:lpstr>page2</vt:lpstr>
      <vt:lpstr>page3</vt:lpstr>
      <vt:lpstr>page4</vt:lpstr>
      <vt:lpstr>page5</vt:lpstr>
      <vt:lpstr>page7</vt:lpstr>
      <vt:lpstr>page8</vt:lpstr>
      <vt:lpstr>page9</vt:lpstr>
      <vt:lpstr>'SCH M'!Print_Area</vt:lpstr>
      <vt:lpstr>DDS!Print_Titles</vt:lpstr>
      <vt:lpstr>'OTHER REVENUE'!Print_Titles</vt:lpstr>
      <vt:lpstr>'SCH M'!Print_Titles</vt:lpstr>
      <vt:lpstr>'TOTAL FUNCFAC'!Print_Titles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paice</dc:creator>
  <cp:lastModifiedBy>laurieharris</cp:lastModifiedBy>
  <cp:lastPrinted>2013-11-13T22:28:36Z</cp:lastPrinted>
  <dcterms:created xsi:type="dcterms:W3CDTF">1999-05-18T21:16:11Z</dcterms:created>
  <dcterms:modified xsi:type="dcterms:W3CDTF">2014-01-23T15:29:36Z</dcterms:modified>
</cp:coreProperties>
</file>